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15"/>
  </bookViews>
  <sheets>
    <sheet name="2024" sheetId="6" r:id="rId1"/>
    <sheet name="2024 (2)" sheetId="7" state="hidden" r:id="rId2"/>
    <sheet name="改中间版本" sheetId="4" state="hidden" r:id="rId3"/>
    <sheet name="Sheet1" sheetId="5" state="hidden" r:id="rId4"/>
  </sheets>
  <definedNames>
    <definedName name="_xlnm._FilterDatabase" localSheetId="0" hidden="1">'2024'!$A$2:$J$130</definedName>
    <definedName name="_xlnm._FilterDatabase" localSheetId="1" hidden="1">'2024 (2)'!$A$2:$AD$230</definedName>
    <definedName name="_xlnm._FilterDatabase" localSheetId="2" hidden="1">改中间版本!$A$2:$AD$231</definedName>
    <definedName name="_xlnm._FilterDatabase" localSheetId="3" hidden="1">Sheet1!$A$2:$AD$244</definedName>
    <definedName name="_xlnm.Print_Titles" localSheetId="2">改中间版本!$1:$2</definedName>
    <definedName name="_xlnm.Print_Titles" localSheetId="3">Sheet1!$1:$2</definedName>
    <definedName name="_xlnm.Print_Titles" localSheetId="0">'2024'!$1:$2</definedName>
    <definedName name="_xlnm.Print_Titles" localSheetId="1">'2024 (2)'!$1:$2</definedName>
    <definedName name="_xlnm.Print_Area" localSheetId="0">'2024'!$A$1:$C$130</definedName>
  </definedNames>
  <calcPr calcId="144525"/>
</workbook>
</file>

<file path=xl/sharedStrings.xml><?xml version="1.0" encoding="utf-8"?>
<sst xmlns="http://schemas.openxmlformats.org/spreadsheetml/2006/main" count="5644" uniqueCount="1180">
  <si>
    <t>2024年度支持港澳青年发展专项资金租金补贴项目拟发放名单</t>
  </si>
  <si>
    <t>序号</t>
  </si>
  <si>
    <t>单位名称</t>
  </si>
  <si>
    <t>通过金额（元）</t>
  </si>
  <si>
    <t>落地国际医疗（深圳）集团有限公司</t>
  </si>
  <si>
    <t>深圳市行芯运转科技有限公司</t>
  </si>
  <si>
    <t>深圳自然性品牌管理有限公司</t>
  </si>
  <si>
    <t>深圳创启智能物联网科技有限公司</t>
  </si>
  <si>
    <t>深圳即时闪送科技有限公司</t>
  </si>
  <si>
    <t>深圳市发酷丝科技有限公司</t>
  </si>
  <si>
    <t>辉拓碇文创科技（深圳）有限公司</t>
  </si>
  <si>
    <t>深圳市盘石家族数字科技有限公司</t>
  </si>
  <si>
    <t>深圳市谦甦福文化传播有限公司</t>
  </si>
  <si>
    <t>深圳市瓦洛现实技术有限公司</t>
  </si>
  <si>
    <t>深圳金伊研发有限公司</t>
  </si>
  <si>
    <t>深圳领晋广告制作有限公司</t>
  </si>
  <si>
    <t>深圳市乜都有文化传播有限责任公司</t>
  </si>
  <si>
    <t>深圳瑞祥易科技有限公司</t>
  </si>
  <si>
    <t>深圳初见情感文化有限公司</t>
  </si>
  <si>
    <t>深圳市芯芯新媒体科技市场策划有限公司</t>
  </si>
  <si>
    <t>佳业创九号生活用品（深圳）有限公司</t>
  </si>
  <si>
    <t>深圳喜尚文化有限公司</t>
  </si>
  <si>
    <t>卡司智创科技（深圳）有限公司</t>
  </si>
  <si>
    <t>晴熹（深圳）咨询有限公司</t>
  </si>
  <si>
    <t>跃迁飞腾教育科技（深圳）有限公司</t>
  </si>
  <si>
    <t>深圳市本来科技文化有限公司</t>
  </si>
  <si>
    <t>深圳市智慧名扬科技有限公司</t>
  </si>
  <si>
    <t>深圳前海港润湾科技资讯有限公司</t>
  </si>
  <si>
    <t>深圳市前海新起点跨境科技有限公司</t>
  </si>
  <si>
    <t>深圳威武士科技有限公司</t>
  </si>
  <si>
    <t>深圳助优国际资讯科技有限公司</t>
  </si>
  <si>
    <t>深圳市百万圆桌策划有限公司</t>
  </si>
  <si>
    <t>深圳市澄携科技有限公司</t>
  </si>
  <si>
    <t>深圳前海笑爷仔供应链集团有限公司</t>
  </si>
  <si>
    <t>深圳市前海武盟众创文化有限公司</t>
  </si>
  <si>
    <t>深圳市敬翔教育科技有限公司</t>
  </si>
  <si>
    <t>番腾智慧科技（深圳）有限公司</t>
  </si>
  <si>
    <t>海布罗科技（深圳）有限公司</t>
  </si>
  <si>
    <t>深圳良程咨询有限公司</t>
  </si>
  <si>
    <t>深圳市绿时袋科技有限公司</t>
  </si>
  <si>
    <t>深圳悦沐新生科技有限公司</t>
  </si>
  <si>
    <t>深圳创信时代科技有限公司</t>
  </si>
  <si>
    <t>深圳市诺盛科创有限公司</t>
  </si>
  <si>
    <t>深圳市汇瀛贸易有限公司</t>
  </si>
  <si>
    <t>深圳弘诚之医疗科技有限公司</t>
  </si>
  <si>
    <t>深圳前海华桐正和科技有限公司</t>
  </si>
  <si>
    <t>虎大科技（深圳）有限公司</t>
  </si>
  <si>
    <t>闻歌科技（深圳）有限公司</t>
  </si>
  <si>
    <t>深圳万锋文化传媒有限公司</t>
  </si>
  <si>
    <t>深圳幻影未来信息科技有限公司</t>
  </si>
  <si>
    <t>深圳市前海无疆企业服务有限公司</t>
  </si>
  <si>
    <t>深圳市怀熹咨询服务有限公司</t>
  </si>
  <si>
    <t>深圳市寂静岭文化传播有限公司</t>
  </si>
  <si>
    <t>怡家文化（深圳）有限公司</t>
  </si>
  <si>
    <t>深圳前海马克企业服务有限公司</t>
  </si>
  <si>
    <t>深圳运动星球科技有限公司</t>
  </si>
  <si>
    <t>深圳云联国际数贸科技有限公司</t>
  </si>
  <si>
    <t>六式格玛半导体科技（深圳）有限公司</t>
  </si>
  <si>
    <t>深圳市拾梦工场科技有限公司</t>
  </si>
  <si>
    <t>深圳氮芯时代科技有限公司</t>
  </si>
  <si>
    <t>深圳马克宇宙科技有限公司</t>
  </si>
  <si>
    <t>深圳市医创联合科技有限公司</t>
  </si>
  <si>
    <t>深圳前海创汇高科技有限公司</t>
  </si>
  <si>
    <t>线准科技（深圳）有限公司</t>
  </si>
  <si>
    <t>金匮星商业服务（深圳）有限公司</t>
  </si>
  <si>
    <t>玖凡（深圳）咨询有限公司</t>
  </si>
  <si>
    <t>云数势能科技（深圳）有限公司</t>
  </si>
  <si>
    <t>深圳市隽林智慧科技有限公司</t>
  </si>
  <si>
    <t>旭灏（深圳）控股有限公司</t>
  </si>
  <si>
    <t>港城思康科技（深圳）有限公司</t>
  </si>
  <si>
    <t>深圳一说设计企划有限公司</t>
  </si>
  <si>
    <t>深圳市肌建健康科技有限公司</t>
  </si>
  <si>
    <t>江上（深圳）文化传播有限公司</t>
  </si>
  <si>
    <t>深圳市露凝烟科技有限公司</t>
  </si>
  <si>
    <t>深圳市小猴财商咨询有限公司</t>
  </si>
  <si>
    <t>深圳市鸿汇科技咨询服务有限公司</t>
  </si>
  <si>
    <t>骏昇（深圳）商务咨询服务有限公司</t>
  </si>
  <si>
    <t>奇流科技（深圳）有限公司</t>
  </si>
  <si>
    <t>深圳市星淘淘传媒有限责任公司</t>
  </si>
  <si>
    <t>深圳港湾汇文化传媒有限公司</t>
  </si>
  <si>
    <t>深圳市前海智路教育资讯科技有限公司</t>
  </si>
  <si>
    <t>智魔厨控股（深圳）有限公司</t>
  </si>
  <si>
    <t>深圳市金金宝文化科技有限公司</t>
  </si>
  <si>
    <t>深圳市英菲国际商贸有限公司</t>
  </si>
  <si>
    <t>慧辰咨询服务（深圳）有限公司</t>
  </si>
  <si>
    <t>天好信息技术（深圳）有限公司</t>
  </si>
  <si>
    <t>深圳市尼米亚影视有限公司</t>
  </si>
  <si>
    <t>一悦文化创意（深圳）有限公司</t>
  </si>
  <si>
    <t>深圳市星华点餐饮科技有限公司</t>
  </si>
  <si>
    <t>林德信（深圳）科技有限公司</t>
  </si>
  <si>
    <t>深圳安迪安科技有限公司</t>
  </si>
  <si>
    <t>亚航易（深圳）物流科技有限公司</t>
  </si>
  <si>
    <t>深圳市好稳定文化有限公司</t>
  </si>
  <si>
    <t>深圳前海圈里之外新媒体科技有限公司</t>
  </si>
  <si>
    <t>融创（深圳）孵化器有限公司</t>
  </si>
  <si>
    <t>深圳市智泰翔实国际贸易有限公司</t>
  </si>
  <si>
    <t>元惟（深圳）科技有限公司</t>
  </si>
  <si>
    <t>沁荟（深圳）税务咨询有限公司</t>
  </si>
  <si>
    <t>玛莎（深圳）企业服务有限公司</t>
  </si>
  <si>
    <t>深圳矩阵前行科技有限公司</t>
  </si>
  <si>
    <t>深圳市选择智慧科技有限公司</t>
  </si>
  <si>
    <t>深圳前海美姿新时代文化传播有限公司</t>
  </si>
  <si>
    <t>深圳市诺伊云数字信息技术有限公司</t>
  </si>
  <si>
    <t>派瑞亭教育科技（深圳）有限公司</t>
  </si>
  <si>
    <t>深圳园境信息咨询有限公司</t>
  </si>
  <si>
    <t>高盈信息技术（深圳）有限公司</t>
  </si>
  <si>
    <t>深圳前海梦幻派对文化创意有限公司</t>
  </si>
  <si>
    <t>深圳市空天智慧监测与治理有限公司</t>
  </si>
  <si>
    <t>深圳智彗城市数字科技有限公司</t>
  </si>
  <si>
    <t>深圳孪生数字创新科技有限公司</t>
  </si>
  <si>
    <t>天天辰科技（深圳）有限公司</t>
  </si>
  <si>
    <t>汇才学术（深圳）科技有限公司</t>
  </si>
  <si>
    <t>深圳市美亚北亚科技有限公司</t>
  </si>
  <si>
    <t>深圳市亿融信达科技有限公司</t>
  </si>
  <si>
    <t>深圳市昀华咨询科技有限公司</t>
  </si>
  <si>
    <t>深圳市和佳技术培训服务有限公司</t>
  </si>
  <si>
    <t>圆一刻科技文化（深圳）有限公司</t>
  </si>
  <si>
    <t>拉力艺（深圳）科技有限公司</t>
  </si>
  <si>
    <t>深圳易得生物医疗科技有限公司</t>
  </si>
  <si>
    <t>深圳市优正咨询科技有限公司</t>
  </si>
  <si>
    <t>马赫创新技术（深圳）有限公司</t>
  </si>
  <si>
    <t>瞳目研发（深圳）有限公司</t>
  </si>
  <si>
    <t>宝妍创业科技（深圳）有限公司</t>
  </si>
  <si>
    <t>千橡咨询（深圳）有限公司</t>
  </si>
  <si>
    <t>深圳憧升科技有限公司</t>
  </si>
  <si>
    <t>深圳前海雯肤人商贸有限公司</t>
  </si>
  <si>
    <t>深圳市联艺兴科技有限公司</t>
  </si>
  <si>
    <t>深圳鹤延未来科技有限公司</t>
  </si>
  <si>
    <t>深圳康崴科技供应链管理有限公司</t>
  </si>
  <si>
    <t>深圳市俊晴科技有限公司</t>
  </si>
  <si>
    <t>深圳市无界乐活实业有限公司</t>
  </si>
  <si>
    <t>智掂互联网科技（深圳）有限公司</t>
  </si>
  <si>
    <t>单位类资助审核明细表</t>
  </si>
  <si>
    <t>注册地址</t>
  </si>
  <si>
    <t>统一社会信用代码</t>
  </si>
  <si>
    <t>创业载体是否经相关部门认定或者备案</t>
  </si>
  <si>
    <t>租赁地址</t>
  </si>
  <si>
    <t>租赁面积</t>
  </si>
  <si>
    <t>租赁期限</t>
  </si>
  <si>
    <t>历史扶持情况</t>
  </si>
  <si>
    <t>历史扶持月数</t>
  </si>
  <si>
    <t>本次扶持区间</t>
  </si>
  <si>
    <t>本次扶持月数</t>
  </si>
  <si>
    <t>累计扶持月数</t>
  </si>
  <si>
    <t>单月实际租金单价（元/平米/月）</t>
  </si>
  <si>
    <t>扶持标准（元/平米/月）</t>
  </si>
  <si>
    <t>拟扶持金额（元）</t>
  </si>
  <si>
    <t>扶持金额合计（元）</t>
  </si>
  <si>
    <t>律所审核意见</t>
  </si>
  <si>
    <t>会所审核意见</t>
  </si>
  <si>
    <t>港澳服务处审核意见</t>
  </si>
  <si>
    <t>审核结论</t>
  </si>
  <si>
    <t>深圳市前海深港合作区南山街道梦海大道5188号前海深港青年梦工场北区8栋301F2</t>
  </si>
  <si>
    <t>91440300MA5G5Y3777</t>
  </si>
  <si>
    <t>是</t>
  </si>
  <si>
    <t>深圳市前海合作区前海青年梦工场北区8栋3层301F2</t>
  </si>
  <si>
    <t>20240312-20250312</t>
  </si>
  <si>
    <t>无</t>
  </si>
  <si>
    <t>20240313-20240630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</si>
  <si>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4.根据《十二条措施》第五条的规定，拟扶持的金额为1734元。（计算方式为：按照上一年度实际产生场地租金的50%给予不超过30万元的场地租金补贴，每月每平方米补贴不超过60元）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</si>
  <si>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4.通过计算办公场地租赁合同、经营场地的租金支付发票、租金支付统计表等，本次拟扶持金额为：1734元。</t>
  </si>
  <si>
    <t>港澳处、律所、会所三方审核结论一致，符合给予租金补贴1734元条件。</t>
  </si>
  <si>
    <t>广东省深圳市南山区南山街道风华社区前湾一路35号青年梦工场6号楼217</t>
  </si>
  <si>
    <t>91440300MA5HM8JG5Y</t>
  </si>
  <si>
    <t>深圳市南山区东滨路与月亮湾大道交汇处前海深港青年梦工场6号楼217室共享办公区卡位</t>
  </si>
  <si>
    <t>20221226-20231225</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</si>
  <si>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4.根据《十二条措施》第五条的规定，拟扶持的金额为9915元。（计算方式为：按照上一年度实际产生场地租金的50%给予不超过30万元的场地租金补贴，每月每平方米补贴不超过60元）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</si>
  <si>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4.通过计算办公场地租赁合同、经营场地的租金支付发票、租金支付统计表等，本次拟扶持金额为：9915元。</t>
  </si>
  <si>
    <t>港澳处、律所、会所三方审核结论一致，符合给予租金补贴9915元条件。</t>
  </si>
  <si>
    <t>深圳市南山区东滨路与月亮湾大道交汇处前海深港青年梦工场6号楼305室共享办公区卡位</t>
  </si>
  <si>
    <t>20231226-20250409</t>
  </si>
  <si>
    <t>20231226-20240630</t>
  </si>
  <si>
    <t>深圳市南山区梦海大道5073号华海金融中心b栋前海国际人才港第12层1202室</t>
  </si>
  <si>
    <t>91440300MA5HHK3U3F</t>
  </si>
  <si>
    <t>深圳市前海合作区前海青年梦工场北区3栋201K</t>
  </si>
  <si>
    <t>20221015-20231014</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</si>
  <si>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4.根据《十二条措施》第五条的规定，拟扶持的金额为64800元。（计算方式为：按照上一年度实际产生场地租金的50%给予不超过30万元的场地租金补贴，每月每平方米补贴不超过60元）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</si>
  <si>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4.通过计算办公场地租赁合同、经营场地的租金支付发票、租金支付统计表等，本次拟扶持金额为：64800元。</t>
  </si>
  <si>
    <t>港澳处、律所、会所三方审核结论一致，符合给予租金补贴64800元条件。</t>
  </si>
  <si>
    <t>深圳市前海深港合作区南山街道港城街99号深国际前海颐都大厦塔楼501-07</t>
  </si>
  <si>
    <t>91440300MA5HNB3572</t>
  </si>
  <si>
    <t>深国际颐都大厦5楼7个工位</t>
  </si>
  <si>
    <t>20221115-20231114</t>
  </si>
  <si>
    <t>20230515-20231114</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</si>
  <si>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4.根据《十二条措施》第五条的规定，拟扶持的金额为16660元。（计算方式为：按照上一年度实际产生场地租金的50%给予不超过30万元的场地租金补贴，每月每平方米补贴不超过60元）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</si>
  <si>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4.通过计算办公场地租赁合同、经营场地的租金支付发票、租金支付统计表等，本次拟扶持金额为：16660元。</t>
  </si>
  <si>
    <t>港澳处、律所、会所三方审核结论一致，符合给予租金补贴16660元条件。</t>
  </si>
  <si>
    <t>深国际颐都大厦5楼1个工位</t>
  </si>
  <si>
    <t>20231115-20241114</t>
  </si>
  <si>
    <t>20231115-20240630</t>
  </si>
  <si>
    <t>深圳市前海深港合作区南山街道前湾一路35:号深港青年梦工场10栋301</t>
  </si>
  <si>
    <t>91440300MACU1AAN01</t>
  </si>
  <si>
    <t>甲方将深圳市前海深港合作区前湾一路鲤鱼门街35号前海深港青年梦工场二期10栋3楼301室1个卡位</t>
  </si>
  <si>
    <t>20230802-20240801</t>
  </si>
  <si>
    <t>20230802-20240630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</si>
  <si>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4.根据《十二条措施》第五条的规定，拟扶持的金额为6580元。（计算方式为：按照上一年度实际产生场地租金的50%给予不超过30万元的场地租金补贴，每月每平方米补贴不超过60元）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</si>
  <si>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4.通过计算办公场地租赁合同、经营场地的租金支付发票、租金支付统计表等，本次拟扶持金额为：6580元。</t>
  </si>
  <si>
    <t>港澳处、律所、会所三方审核结论一致，符合给予租金补贴6580元条件。</t>
  </si>
  <si>
    <t xml:space="preserve">深圳市前海深港合作区南山街道前湾一路35号深港青年梦工场10栋602E
</t>
  </si>
  <si>
    <t>91440300MACQPKKU6F</t>
  </si>
  <si>
    <t>深圳市前海深港合作区前湾一路鲤鱼门街35号前海深港青年梦工场第10栋第602D室22、23号座位</t>
  </si>
  <si>
    <t>20230612-20231216</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</si>
  <si>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4.根据《十二条措施》第五条的规定，拟扶持的金额为11774元。（计算方式为：按照上一年度实际产生场地租金的50%给予不超过30万元的场地租金补贴，每月每平方米补贴不超过60元）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</si>
  <si>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4.通过计算办公场地租赁合同、经营场地的租金支付发票、租金支付统计表等，本次拟扶持金额为：11774元。</t>
  </si>
  <si>
    <t>港澳处、律所、会所三方审核结论一致，符合给予租金补贴11774元条件。</t>
  </si>
  <si>
    <t>20231217-20241231</t>
  </si>
  <si>
    <t>20231217-20240630</t>
  </si>
  <si>
    <t>深圳市前海深港合作区南山街道前湾一路35号青年梦工场6号楼305</t>
  </si>
  <si>
    <t>91440300MA5HQTND5U</t>
  </si>
  <si>
    <t>深圳市南山区东滨路与月亮湾大道交汇处前海深港青年梦工场6号楼217室公共办公区</t>
  </si>
  <si>
    <t>20230220-20240219</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</si>
  <si>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4.根据《十二条措施》第五条的规定，拟扶持的金额为4903元。（计算方式为：按照上一年度实际产生场地租金的50%给予不超过30万元的场地租金补贴，每月每平方米补贴不超过60元）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</si>
  <si>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4.通过计算办公场地租赁合同、经营场地的租金支付发票、租金支付统计表等，本次拟扶持金额为：4903元。</t>
  </si>
  <si>
    <t>港澳处、律所、会所三方审核结论一致，符合给予租金补贴4903元条件。</t>
  </si>
  <si>
    <t>深圳市南山区东滨路与月亮湾大道交汇处前海深港青年梦工场6号楼305室公共办公区</t>
  </si>
  <si>
    <t>20240220-20250219</t>
  </si>
  <si>
    <t>20240220-20240630</t>
  </si>
  <si>
    <t>深圳市前海深港合作区南山街道梦海大道5188号前海深港青年梦工场北区8栋402C</t>
  </si>
  <si>
    <t>91440300MA5G41W416</t>
  </si>
  <si>
    <t>深圳市前海合作区前海青年梦工场北区8栋3层（302K）</t>
  </si>
  <si>
    <t>已领取2023年度《十二条措施》租金补贴</t>
  </si>
  <si>
    <t>20230701-20231114</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</si>
  <si>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4.根据《十二条措施》第五条的规定，拟扶持的金额为44400元。（计算方式为：按照上一年度实际产生场地租金的50%给予不超过30万元的场地租金补贴，每月每平方米补贴不超过60元）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</si>
  <si>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4.通过计算办公场地租赁合同、经营场地的租金支付发票、租金支付统计表等，本次拟扶持金额为：44400元。</t>
  </si>
  <si>
    <t>港澳处、律所、会所三方审核结论一致，符合给予租金补贴44400元条件。</t>
  </si>
  <si>
    <t>深圳市前海合作区前海青年梦工场北区8栋4层（402C）</t>
  </si>
  <si>
    <t>深圳市前海合作区前海青年梦工场北区8栋4层（402L）</t>
  </si>
  <si>
    <t>20240501-20241130</t>
  </si>
  <si>
    <t>20240501-20240630</t>
  </si>
  <si>
    <t>深圳市前海深港合作区南山街道梦海大道5188号前海深港青年梦工场北区4栋109</t>
  </si>
  <si>
    <t>91440300MACXE9PGX1</t>
  </si>
  <si>
    <t>深圳市前海深港现代服务合作区桂湾片区四单元08、09街坊前海深港青年梦工场北区第4栋第1层106、107、108、109、110室</t>
  </si>
  <si>
    <t>20230825-20300824</t>
  </si>
  <si>
    <t>20231125-20240630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</si>
  <si>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4.根据《十二条措施》第五条的规定，拟扶持的金额为239188元。（计算方式为：按照上一年度实际产生场地租金的50%给予不超过30万元的场地租金补贴，每月每平方米补贴不超过60元）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</si>
  <si>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4.通过计算办公场地租赁合同、经营场地的租金支付发票、租金支付统计表等，本次拟扶持金额为：239188元。</t>
  </si>
  <si>
    <t>港澳处、律所、会所三方审核结论一致，符合给予租金补贴239188元条件。</t>
  </si>
  <si>
    <t>深圳市前海深港合作区南山街道前湾一路35号深港青年梦工场10栋504</t>
  </si>
  <si>
    <t>91440300MA5H6TG3XE</t>
  </si>
  <si>
    <t>20230801-20231216</t>
  </si>
  <si>
    <t>20230801-20211216</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</si>
  <si>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4.根据《十二条措施》第五条的规定，拟扶持的金额为187954元。（计算方式为：按照上一年度实际产生场地租金的50%给予不超过30万元的场地租金补贴，每月每平方米补贴不超过60元）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</si>
  <si>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4.通过计算办公场地租赁合同、经营场地的租金支付发票、租金支付统计表等，本次拟扶持金额为：187954元。</t>
  </si>
  <si>
    <t>港澳处、律所、会所三方审核结论一致，符合给予租金补贴187954元条件。</t>
  </si>
  <si>
    <t>20231217-20251216</t>
  </si>
  <si>
    <t>深圳市前海深港合作区南山街道前湾一路35号深港青年梦工场10栋213</t>
  </si>
  <si>
    <t>91440300MACQ6XL172</t>
  </si>
  <si>
    <t>深圳市前海深港合作区前海深港青年梦工场10栋2层16号流动办公卡位</t>
  </si>
  <si>
    <t>20230310-20240309</t>
  </si>
  <si>
    <t>20230701-20240309</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</si>
  <si>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4.根据《十二条措施》第五条的规定，拟扶持的金额为6000元。（计算方式为：按照上一年度实际产生场地租金的50%给予不超过30万元的场地租金补贴，每月每平方米补贴不超过60元）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</si>
  <si>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4.通过计算办公场地租赁合同、经营场地的租金支付发票、租金支付统计表等，本次拟扶持金额为：6000元。</t>
  </si>
  <si>
    <t>港澳处、律所、会所三方审核结论一致，符合给予租金补贴6000元条件。</t>
  </si>
  <si>
    <t>20240310-20250309</t>
  </si>
  <si>
    <t>20240310-20240630</t>
  </si>
  <si>
    <t>深圳市前海深港合作区南山街道前湾一路35号深港青年梦工场10栋406A</t>
  </si>
  <si>
    <t>91440300MACX1D0186</t>
  </si>
  <si>
    <t>20231217-20241216</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</si>
  <si>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4.根据《十二条措施》第五条的规定，拟扶持的金额为3306元。（计算方式为：按照上一年度实际产生场地租金的50%给予不超过30万元的场地租金补贴，每月每平方米补贴不超过60元）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</si>
  <si>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4.通过计算办公场地租赁合同、经营场地的租金支付发票、租金支付统计表等，本次拟扶持金额为：3306元。</t>
  </si>
  <si>
    <t>港澳处、律所、会所三方审核结论一致，符合给予租金补贴3306元条件。</t>
  </si>
  <si>
    <t>深圳市前海深港合作区南山街道梦海大道5188号前海深港青年梦工场北区8栋301A2</t>
  </si>
  <si>
    <t>91440300MA5G170X5H</t>
  </si>
  <si>
    <t>深圳市前海合作区前海青年梦工场北区8栋3层G栋302M/302N/302Q/302R</t>
  </si>
  <si>
    <t>20230101-20231231</t>
  </si>
  <si>
    <t>20230701-20231031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</si>
  <si>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4.根据《十二条措施》第五条的规定，拟扶持的金额为96300元。（计算方式为：按照上一年度实际产生场地租金的50%给予不超过30万元的场地租金补贴，每月每平方米补贴不超过60元）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</si>
  <si>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4.通过计算办公场地租赁合同、经营场地的租金支付发票、租金支付统计表等，本次拟扶持金额为：96300元。</t>
  </si>
  <si>
    <t>港澳处、律所、会所三方审核结论一致，符合给予租金补贴96300元条件。</t>
  </si>
  <si>
    <t>20231101-20231231</t>
  </si>
  <si>
    <t>20240101-20240331</t>
  </si>
  <si>
    <t>深圳市前海合作区前海青年梦工场北区8栋3层G栋302N/302Q/302R</t>
  </si>
  <si>
    <t>20240401-20250331</t>
  </si>
  <si>
    <t>20240401-20240630</t>
  </si>
  <si>
    <t>深圳市前海深港合作区南山街道梦海大道5188号前海深港青年梦工场北区8栋401F、401G、401I、401M、401N、401O</t>
  </si>
  <si>
    <t>91440300MA5HG3UJ33</t>
  </si>
  <si>
    <t>深圳市前海合作区前海青年梦工场北区8栋4层401V、401M1、401N3</t>
  </si>
  <si>
    <t>20230628-20250627</t>
  </si>
  <si>
    <t>20230628-20240627</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</si>
  <si>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4.根据《十二条措施》第五条的规定，拟扶持的金额为111600元。（计算方式为：按照上一年度实际产生场地租金的50%给予不超过30万元的场地租金补贴，每月每平方米补贴不超过60元）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</si>
  <si>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4.通过计算办公场地租赁合同、经营场地的租金支付发票、租金支付统计表等，本次拟扶持金额为：111600元。</t>
  </si>
  <si>
    <t>港澳处、律所、会所三方审核结论一致，符合给予租金补贴111600元条件。</t>
  </si>
  <si>
    <t>深圳市前海深港合作区南山街道前湾一路35号深港青年梦工场10栋211</t>
  </si>
  <si>
    <t>91440300MAD3QTP03B</t>
  </si>
  <si>
    <t>20231016-20241015</t>
  </si>
  <si>
    <t>20231016-20240630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</si>
  <si>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4.根据《十二条措施》第五条的规定，拟扶持的金额为11160元。（计算方式为：按照上一年度实际产生场地租金的50%给予不超过30万元的场地租金补贴，每月每平方米补贴不超过60元）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</si>
  <si>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4.通过计算办公场地租赁合同、经营场地的租金支付发票、租金支付统计表等，本次拟扶持金额为：11160元。</t>
  </si>
  <si>
    <t>港澳处、律所、会所三方审核结论一致，符合给予租金补贴11160元条件。</t>
  </si>
  <si>
    <t>深圳市前海深港合作区南山街道前湾一路35号深港青年梦工场10栋301</t>
  </si>
  <si>
    <t>91440300MAD8QK3B3F</t>
  </si>
  <si>
    <t>20240105-20250104</t>
  </si>
  <si>
    <t>20240105-20240630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</si>
  <si>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4.根据《十二条措施》第五条的规定，拟扶持的金额为3522元。（计算方式为：按照上一年度实际产生场地租金的50%给予不超过30万元的场地租金补贴，每月每平方米补贴不超过60元）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</si>
  <si>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4.通过计算办公场地租赁合同、经营场地的租金支付发票、租金支付统计表等，本次拟扶持金额为：3522元。</t>
  </si>
  <si>
    <t>港澳处、律所、会所三方审核结论一致，符合给予租金补贴3522元条件。</t>
  </si>
  <si>
    <t>创摄导行文化传播（深圳）有限公司</t>
  </si>
  <si>
    <t>深圳市前海深港合作区南山街道梦海大道5188号前海深港青年梦工场北区8栋302S</t>
  </si>
  <si>
    <t>91440300MA5HXK3W7R</t>
  </si>
  <si>
    <t>20230913-20240912</t>
  </si>
  <si>
    <t>20230913-20240630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</si>
  <si>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4.根据《十二条措施》第五条的规定，拟扶持的金额为142848元。（计算方式为：按照上一年度实际产生场地租金的50%给予不超过30万元的场地租金补贴，每月每平方米补贴不超过60元）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</si>
  <si>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4.通过计算办公场地租赁合同、经营场地的租金支付发票、租金支付统计表等，本次拟扶持金额为：142848元。</t>
  </si>
  <si>
    <t>港澳处、律所、会所三方审核结论一致，符合给予租金补贴142848元条件。</t>
  </si>
  <si>
    <t>深圳市前海深港合作区南山街道梦海大道5188号前海深港青年梦工场北区8栋301F1</t>
  </si>
  <si>
    <t>91440300MA5HCRT3XE</t>
  </si>
  <si>
    <t>20231218-20241217</t>
  </si>
  <si>
    <t>20231218-20240630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</si>
  <si>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4.根据《十二条措施》第五条的规定，拟扶持的金额为3870元。（计算方式为：按照上一年度实际产生场地租金的50%给予不超过30万元的场地租金补贴，每月每平方米补贴不超过60元）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</si>
  <si>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4.通过计算办公场地租赁合同、经营场地的租金支付发票、租金支付统计表等，本次拟扶持金额为：3870元。</t>
  </si>
  <si>
    <t>港澳处、律所、会所三方审核结论一致，符合给予租金补贴3870元条件。</t>
  </si>
  <si>
    <t>深圳市前海深港合作区南山街道梦海大道5188号前海深港青年梦工场北区4栋401ZG</t>
  </si>
  <si>
    <t>91440300MADAWXQN8X</t>
  </si>
  <si>
    <t>深圳市前海深港青年梦工场中区5栋201</t>
  </si>
  <si>
    <t>20240201-20240630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</si>
  <si>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4.根据《十二条措施》第五条的规定，拟扶持的金额为61234元。（计算方式为：按照上一年度实际产生场地租金的50%给予不超过30万元的场地租金补贴，每月每平方米补贴不超过60元）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</si>
  <si>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4.通过计算办公场地租赁合同、经营场地的租金支付发票、租金支付统计表等，本次拟扶持金额为：61234元。</t>
  </si>
  <si>
    <t>港澳处、律所、会所三方审核结论一致，符合给予租金补贴61234元条件。</t>
  </si>
  <si>
    <t>深圳市前海深港青年梦工场中区5栋202</t>
  </si>
  <si>
    <t>20240301-20250228</t>
  </si>
  <si>
    <t>20240301-20240630</t>
  </si>
  <si>
    <t>深圳市前海深港青年梦工场中区5栋203</t>
  </si>
  <si>
    <t>20240227-20250226</t>
  </si>
  <si>
    <t>深圳市前海深港青年梦工场中区5栋204</t>
  </si>
  <si>
    <t>20240301-20260228</t>
  </si>
  <si>
    <t>深圳市前海深港青年梦工场中区5栋206</t>
  </si>
  <si>
    <t>深圳市前海深港青年梦工场中区5栋207</t>
  </si>
  <si>
    <t>20240420-20250419</t>
  </si>
  <si>
    <t>深圳市前海深港青年梦工场中区5栋209</t>
  </si>
  <si>
    <t>20240220-20260219</t>
  </si>
  <si>
    <t>深圳市前海深港青年梦工场中区5栋218</t>
  </si>
  <si>
    <t>深圳市前海深港合作区南山街道前海青年梦工场3号楼102</t>
  </si>
  <si>
    <t>91440300MAD8KCERXK</t>
  </si>
  <si>
    <t>深圳市前海深港合作区南山街道前湾一路35号前海深港青年梦工场3栋102</t>
  </si>
  <si>
    <t>20231004-20250409</t>
  </si>
  <si>
    <t>20231004-20240630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</si>
  <si>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4.根据《十二条措施》第五条的规定，拟扶持的金额为148851元。（计算方式为：按照上一年度实际产生场地租金的50%给予不超过30万元的场地租金补贴，每月每平方米补贴不超过60元）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</si>
  <si>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4.通过计算办公场地租赁合同、经营场地的租金支付发票、租金支付统计表等，本次拟扶持金额为：148851元。</t>
  </si>
  <si>
    <t>港澳处、律所、会所三方审核结论一致，符合给予租金补贴148851元条件。</t>
  </si>
  <si>
    <t>深圳市前海深港合作区南山街道前湾一路35号深港青年梦工场10栋602</t>
  </si>
  <si>
    <t>91440300MA5HTB5W3P</t>
  </si>
  <si>
    <t>深圳市前海深港合作区前湾一路鲤鱼门街35号前海深港青年梦工场第10栋6层602D室17、18号座位</t>
  </si>
  <si>
    <t>20230313-20231115</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</si>
  <si>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4.根据《十二条措施》第五条的规定，拟扶持的金额为14331元。（计算方式为：按照上一年度实际产生场地租金的50%给予不超过30万元的场地租金补贴，每月每平方米补贴不超过60元）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</si>
  <si>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4.通过计算办公场地租赁合同、经营场地的租金支付发票、租金支付统计表等，本次拟扶持金额为：14331元。</t>
  </si>
  <si>
    <t>港澳处、律所、会所三方审核结论一致，符合给予租金补贴14331元条件。</t>
  </si>
  <si>
    <t>20231116-20240630</t>
  </si>
  <si>
    <t>深圳市前海深港合作区南山街道前湾一路35号
青年梦工场6号楼205</t>
  </si>
  <si>
    <t>91440300MACTYL4DXM</t>
  </si>
  <si>
    <t>深圳市南山区东滨路与月亮湾大道交汇处前海深港青年梦工场6号楼205室</t>
  </si>
  <si>
    <t>20230828-20240827</t>
  </si>
  <si>
    <t>20230828-20240630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</si>
  <si>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4.根据《十二条措施》第五条的规定，拟扶持的金额为17479元。（计算方式为：按照上一年度实际产生场地租金的50%给予不超过30万元的场地租金补贴，每月每平方米补贴不超过60元）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</si>
  <si>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4.通过计算办公场地租赁合同、经营场地的租金支付发票、租金支付统计表等，本次拟扶持金额为：17479元。</t>
  </si>
  <si>
    <t>港澳处、律所、会所三方审核结论一致，符合给予租金补贴17479元条件。</t>
  </si>
  <si>
    <t>深圳市前海深港合作区南山街道梦海大道5188号前海深港青年梦工场北区7栋203K</t>
  </si>
  <si>
    <t>91440300MA5HLKNB7E</t>
  </si>
  <si>
    <t>深圳市前海深港合作区前海深港青年梦工场北区7栋203K</t>
  </si>
  <si>
    <t>20230210-20250209</t>
  </si>
  <si>
    <t>20230701-20240630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</si>
  <si>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4.根据《十二条措施》第五条的规定，拟扶持的金额为136958元。（计算方式为：按照上一年度实际产生场地租金的50%给予不超过30万元的场地租金补贴，每月每平方米补贴不超过60元）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</si>
  <si>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4.通过计算办公场地租赁合同、经营场地的租金支付发票、租金支付统计表等，本次拟扶持金额为：136958元。</t>
  </si>
  <si>
    <t>港澳处、律所、会所三方审核结论一致，符合给予租金补贴136958元条件。</t>
  </si>
  <si>
    <t>深圳市前海深港合作区南山街道梦海大道5188号前海深港青年梦工场北区4栋401ZF</t>
  </si>
  <si>
    <t>91440300MAD7U0DDX6</t>
  </si>
  <si>
    <t>前海深港青年梦工场中区5栋113</t>
  </si>
  <si>
    <t>20240415-20250414</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</si>
  <si>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4.根据《十二条措施》第五条的规定，拟扶持的金额为48354元。（计算方式为：按照上一年度实际产生场地租金的50%给予不超过30万元的场地租金补贴，每月每平方米补贴不超过60元）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</si>
  <si>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4.通过计算办公场地租赁合同、经营场地的租金支付发票、租金支付统计表等，本次拟扶持金额为：48354元。</t>
  </si>
  <si>
    <t>港澳处、律所、会所三方审核结论一致，符合给予租金补贴48354元条件。</t>
  </si>
  <si>
    <t>前海深港青年梦工场中区5栋312</t>
  </si>
  <si>
    <t>前海深港青年梦工场中区5栋313</t>
  </si>
  <si>
    <t>91440300MACMU88K9R</t>
  </si>
  <si>
    <t>深圳市前海深港合作区前湾一路鲤鱼门街35号前海深港青年梦工场二期10栋3楼301</t>
  </si>
  <si>
    <t>20230701-20250630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</si>
  <si>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4.根据《十二条措施》第五条的规定，拟扶持的金额为7200元。（计算方式为：按照上一年度实际产生场地租金的50%给予不超过30万元的场地租金补贴，每月每平方米补贴不超过60元）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</si>
  <si>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4.通过计算办公场地租赁合同、经营场地的租金支付发票、租金支付统计表等，本次拟扶持金额为：7200元。</t>
  </si>
  <si>
    <t>港澳处、律所、会所三方审核结论一致，符合给予租金补贴7200元条件。</t>
  </si>
  <si>
    <t>深圳市前海深港合作区南山街道前湾一路35号深住青年梦工场10栋306</t>
  </si>
  <si>
    <t>91440300MA5HWLHB1L</t>
  </si>
  <si>
    <t>甲方将深圳市前海深港合作区前湾一路鲤鱼门街35号前海深港青年梦工场二期10栋3楼卡位306</t>
  </si>
  <si>
    <t>20230508-20241217</t>
  </si>
  <si>
    <t>20230601-20240630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</si>
  <si>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4.根据《十二条措施》第五条的规定，拟扶持的金额为7800元。（计算方式为：按照上一年度实际产生场地租金的50%给予不超过30万元的场地租金补贴，每月每平方米补贴不超过60元）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</si>
  <si>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4.通过计算办公场地租赁合同、经营场地的租金支付发票、租金支付统计表等，本次拟扶持金额为：7800元。</t>
  </si>
  <si>
    <t>港澳处、律所、会所三方审核结论一致，符合给予租金补贴7800元条件。</t>
  </si>
  <si>
    <t>深圳市前海深港合作区南山街道梦海大道5188号前海深港青年梦工场北区8栋302P</t>
  </si>
  <si>
    <t>91440300MA5HC88D6G</t>
  </si>
  <si>
    <t>深圳市前海合作区前海深港青年梦工场北区8栋3层（302P）</t>
  </si>
  <si>
    <t>20230228-20240227</t>
  </si>
  <si>
    <t>20230701-20240227</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</si>
  <si>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4.根据《十二条措施》第五条的规定，拟扶持的金额为36000元。（计算方式为：按照上一年度实际产生场地租金的50%给予不超过30万元的场地租金补贴，每月每平方米补贴不超过60元）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</si>
  <si>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4.通过计算办公场地租赁合同、经营场地的租金支付发票、租金支付统计表等，本次拟扶持金额为：36000元。</t>
  </si>
  <si>
    <t>港澳处、律所、会所三方审核结论一致，符合给予租金补贴36000元条件。</t>
  </si>
  <si>
    <t>20240228-20250227</t>
  </si>
  <si>
    <t>20240228-20240630</t>
  </si>
  <si>
    <t>深圳市前海深港合作区南山街道前湾一路35号深港青年梦工场10栋306</t>
  </si>
  <si>
    <t>91440300MA5HGQBW14</t>
  </si>
  <si>
    <t>深圳市前海深港合作区前湾一路鲤鱼门街35号前海深港青年梦工场二期10栋3楼306</t>
  </si>
  <si>
    <t>20230904-20240903</t>
  </si>
  <si>
    <t>20230904-20230930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</si>
  <si>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4.根据《十二条措施》第五条的规定，拟扶持的金额为73569元。（计算方式为：按照上一年度实际产生场地租金的50%给予不超过30万元的场地租金补贴，每月每平方米补贴不超过60元）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</si>
  <si>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4.通过计算办公场地租赁合同、经营场地的租金支付发票、租金支付统计表等，本次拟扶持金额为：73569元。</t>
  </si>
  <si>
    <t>港澳处、律所、会所三方审核结论一致，符合给予租金补贴73569元条件。</t>
  </si>
  <si>
    <t>20231001-20231216</t>
  </si>
  <si>
    <t>深圳市前海深港合作区前湾一路鲤鱼门街35号前海深港青年梦工场二期10栋3楼卡位307</t>
  </si>
  <si>
    <t>20220808-20230903</t>
  </si>
  <si>
    <t>20230701-20230903</t>
  </si>
  <si>
    <t>深圳市前海深港合作区南山街道梦海大道5188号前海深港青年梦工场北区3栋201D5</t>
  </si>
  <si>
    <t>91440300MA5HXAYH4D</t>
  </si>
  <si>
    <t>20230522-20250521</t>
  </si>
  <si>
    <t>20230722-20240521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</si>
  <si>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4.根据《十二条措施》第五条的规定，拟扶持的金额为4800元。（计算方式为：按照上一年度实际产生场地租金的50%给予不超过30万元的场地租金补贴，每月每平方米补贴不超过60元）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</si>
  <si>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4.通过计算办公场地租赁合同、经营场地的租金支付发票、租金支付统计表等，本次拟扶持金额为：4800元。</t>
  </si>
  <si>
    <t>港澳处、律所、会所三方审核结论一致，符合给予租金补贴4800元条件。</t>
  </si>
  <si>
    <t>深圳市前海深港合作区南山街道梦海大道5188号前海深港青年梦工场北区3栋201D4</t>
  </si>
  <si>
    <t>91440300MA5HX7QA8T</t>
  </si>
  <si>
    <t>20230522-20240521</t>
  </si>
  <si>
    <t>20231122-20240521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</si>
  <si>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4.根据《十二条措施》第五条的规定，拟扶持的金额为2869元。（计算方式为：按照上一年度实际产生场地租金的50%给予不超过30万元的场地租金补贴，每月每平方米补贴不超过60元）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</si>
  <si>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4.通过计算办公场地租赁合同、经营场地的租金支付发票、租金支付统计表等，本次拟扶持金额为：2869元。</t>
  </si>
  <si>
    <t>港澳处、律所、会所三方审核结论一致，符合给予租金补贴2869元条件。</t>
  </si>
  <si>
    <t>深圳市前海深港合作区南山街道梦海大道5188号前海深港青年梦工场北区8栋401K</t>
  </si>
  <si>
    <t>91440300MACWKN907Y</t>
  </si>
  <si>
    <t>20230801-20240731</t>
  </si>
  <si>
    <t>20230801-20240630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</si>
  <si>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4.根据《十二条措施》第五条的规定，拟扶持的金额为64680元。（计算方式为：按照上一年度实际产生场地租金的50%给予不超过30万元的场地租金补贴，每月每平方米补贴不超过60元）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</si>
  <si>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4.通过计算办公场地租赁合同、经营场地的租金支付发票、租金支付统计表等，本次拟扶持金额为：64680元。</t>
  </si>
  <si>
    <t>港澳处、律所、会所三方审核结论一致，符合给予租金补贴64680元条件。</t>
  </si>
  <si>
    <t>深圳市南山区前海深港青年梦工场北区402</t>
  </si>
  <si>
    <t>91440300MA5HM58G7N</t>
  </si>
  <si>
    <t>深圳市南山区前海深港青年梦工场北区7栋402</t>
  </si>
  <si>
    <t>20221025-20251024</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</si>
  <si>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4.根据《十二条措施》第五条的规定，拟扶持的金额为287920元。（计算方式为：按照上一年度实际产生场地租金的50%给予不超过30万元的场地租金补贴，每月每平方米补贴不超过60元）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</si>
  <si>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4.通过计算办公场地租赁合同、经营场地的租金支付发票、租金支付统计表等，本次拟扶持金额为：287920元。</t>
  </si>
  <si>
    <t>港澳处、律所、会所三方审核结论一致，符合给予租金补贴287920元条件。</t>
  </si>
  <si>
    <t>深圳市前海深港合作区南山街道前湾一路35号深港青年梦工场10栋412</t>
  </si>
  <si>
    <t>91440300MA5HFPR621</t>
  </si>
  <si>
    <t>深圳市前海深港合作区前湾一路鲤鱼门街35号前海深港青年梦工场第10栋第4层406A室一个卡座</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</si>
  <si>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4.根据《十二条措施》第五条的规定，拟扶持的金额为3890元。（计算方式为：按照上一年度实际产生场地租金的50%给予不超过30万元的场地租金补贴，每月每平方米补贴不超过60元）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</si>
  <si>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4.通过计算办公场地租赁合同、经营场地的租金支付发票、租金支付统计表等，本次拟扶持金额为：3890元。</t>
  </si>
  <si>
    <t>港澳处、律所、会所三方审核结论一致，符合给予租金补贴3890元条件。</t>
  </si>
  <si>
    <t>深圳市前海深港合作区南山街道前湾一路35号深港青年梦工场10栋4层411</t>
  </si>
  <si>
    <t>91440300MA5GXTCN4D</t>
  </si>
  <si>
    <t>深圳市前海深港青年梦工场10栋4层411室卡位一个</t>
  </si>
  <si>
    <t>20230601-20240831</t>
  </si>
  <si>
    <t>20230901-20231130</t>
  </si>
  <si>
    <t>20231217-20240331</t>
  </si>
  <si>
    <t>深圳市前海深港合作区南山街道前湾一路35号深港青年梦工场10栋311</t>
  </si>
  <si>
    <t>91440300MA5HMRLJ44</t>
  </si>
  <si>
    <t>深圳市前海深港合作区前湾一路鲤鱼门街35号前海深港青年梦工场二期10栋3楼卡位311</t>
  </si>
  <si>
    <t>20221206-20241205</t>
  </si>
  <si>
    <t>20221206-20240331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</si>
  <si>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4.根据《十二条措施》第五条的规定，拟扶持的金额为9503元。（计算方式为：按照上一年度实际产生场地租金的50%给予不超过30万元的场地租金补贴，每月每平方米补贴不超过60元）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</si>
  <si>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4.通过计算办公场地租赁合同、经营场地的租金支付发票、租金支付统计表等，本次拟扶持金额为：9503元。</t>
  </si>
  <si>
    <t>港澳处、律所、会所三方审核结论一致，符合给予租金补贴9503元条件。</t>
  </si>
  <si>
    <t>深圳市前海深港合作区南山街道梦海大道5188号前海深港青年梦工场北区4栋301L</t>
  </si>
  <si>
    <t>91440300MAD0AB03XU</t>
  </si>
  <si>
    <t>深圳市前海深港青年梦工场中区5栋101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</si>
  <si>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4.根据《十二条措施》第五条的规定，拟扶持的金额为75522元。（计算方式为：按照上一年度实际产生场地租金的50%给予不超过30万元的场地租金补贴，每月每平方米补贴不超过60元）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</si>
  <si>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4.通过计算办公场地租赁合同、经营场地的租金支付发票、租金支付统计表等，本次拟扶持金额为：75522元。</t>
  </si>
  <si>
    <t>港澳处、律所、会所三方审核结论一致，符合给予租金补贴75522元条件。</t>
  </si>
  <si>
    <t>深圳市前海深港青年梦工场中区5栋103</t>
  </si>
  <si>
    <t>20240108-20250107</t>
  </si>
  <si>
    <t>深圳市前海深港青年梦工场中区5栋105</t>
  </si>
  <si>
    <t>深圳市前海深港青年梦工场中区5栋111</t>
  </si>
  <si>
    <t>20240120-20250119</t>
  </si>
  <si>
    <t>深圳市前海深港青年梦工场中区6栋110</t>
  </si>
  <si>
    <t>深圳市前海深港合作区南山街道梦海大道5188号前海深港青年梦I场北区3栋201D3</t>
  </si>
  <si>
    <t>91440300MA5HX4M29Y</t>
  </si>
  <si>
    <t>深圳市前海深港合作区南山街道梦海大道5188号前海深港青年梦工场北区3栋201D3</t>
  </si>
  <si>
    <t>深圳市前海深港合作区青年梦工场北区4栋301H</t>
  </si>
  <si>
    <t>91440300MA5HJ5C05F</t>
  </si>
  <si>
    <t>深圳市前海深港青年梦工场北区4栋202室</t>
  </si>
  <si>
    <t>20220801-20270109</t>
  </si>
  <si>
    <t>20230701-20240131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</si>
  <si>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4.根据《十二条措施》第五条的规定，拟扶持的金额为300000元。（计算方式为：按照上一年度实际产生场地租金的50%给予不超过30万元的场地租金补贴，每月每平方米补贴不超过60元）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</si>
  <si>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4.通过计算办公场地租赁合同、经营场地的租金支付发票、租金支付统计表等，本次拟扶持金额为：300000元。</t>
  </si>
  <si>
    <t>港澳处、律所、会所三方审核结论一致，符合给予租金补贴300000元条件。</t>
  </si>
  <si>
    <t>深圳市前海深港青年梦工场北区4栋301室</t>
  </si>
  <si>
    <t>深圳市前海深港青年梦工场北区4栋301H室</t>
  </si>
  <si>
    <t>20240201-20270109</t>
  </si>
  <si>
    <t>深圳市前海深港合作区南山街道梦海大道5188号前海深港青年梦工场北区8栋401A</t>
  </si>
  <si>
    <t>91440300MA5HPLWB95</t>
  </si>
  <si>
    <t>深圳市前海合作区前海青年梦工场北区8栋4层（401E）</t>
  </si>
  <si>
    <t>20230217-20240216</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</si>
  <si>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4.根据《十二条措施》第五条的规定，拟扶持的金额为51098元。（计算方式为：按照上一年度实际产生场地租金的50%给予不超过30万元的场地租金补贴，每月每平方米补贴不超过60元）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</si>
  <si>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4.通过计算办公场地租赁合同、经营场地的租金支付发票、租金支付统计表等，本次拟扶持金额为：51098元。</t>
  </si>
  <si>
    <t>港澳处、律所、会所三方审核结论一致，符合给予租金补贴51098元条件。</t>
  </si>
  <si>
    <t>深圳市前海合作区前海青年梦工场北区8栋4层401卡位两个</t>
  </si>
  <si>
    <t>20240117-20240216</t>
  </si>
  <si>
    <t>深圳市前海合作区前海青年梦工场北区8栋4层401A</t>
  </si>
  <si>
    <t>20240217-20250216</t>
  </si>
  <si>
    <t>20240217-20240630</t>
  </si>
  <si>
    <t>深圳市前海深港合作区南山街道梦海大道5188号前海深港青年梦工场北区3栋301A</t>
  </si>
  <si>
    <t>91440300MA5HHBUT2R</t>
  </si>
  <si>
    <t>深圳前海深港青年梦工场北区3栋301A室、4栋3楼办公室、4栋5楼办公室</t>
  </si>
  <si>
    <t>20230701-20231130</t>
  </si>
  <si>
    <t>深圳前海深港青年梦工场北区3栋301A室</t>
  </si>
  <si>
    <t>20231201-20240630</t>
  </si>
  <si>
    <t>前海深港青年梦工场北区4栋5楼办公室</t>
  </si>
  <si>
    <t>20240101-20240131</t>
  </si>
  <si>
    <t>20240501-20240531</t>
  </si>
  <si>
    <t>深圳市前海深港合作区南山街道前湾一路35号深港青年梦工场10栋406C</t>
  </si>
  <si>
    <t>91440300MA5GRLCCX6</t>
  </si>
  <si>
    <t>深圳市前海深港合作区前湾一路鲤鱼门街35号前海深港青年梦工场第10栋第4层406C室壹个卡座</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</si>
  <si>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4.根据《十二条措施》第五条的规定，拟扶持的金额为5690元。（计算方式为：按照上一年度实际产生场地租金的50%给予不超过30万元的场地租金补贴，每月每平方米补贴不超过60元）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</si>
  <si>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4.通过计算办公场地租赁合同、经营场地的租金支付发票、租金支付统计表等，本次拟扶持金额为：5690元。</t>
  </si>
  <si>
    <t>港澳处、律所、会所三方审核结论一致，符合给予租金补贴5690元条件。</t>
  </si>
  <si>
    <t>深圳市前海深港合作区南山街道梦海大道5188号前海深港青年梦工场北区8栋301F20</t>
  </si>
  <si>
    <t>91440300MA5H2CF6XP</t>
  </si>
  <si>
    <t>深圳市前海合作区前海青年梦工场北区8栋3层301F20</t>
  </si>
  <si>
    <t>20230920-20240920</t>
  </si>
  <si>
    <t>20230920-20240630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</si>
  <si>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4.根据《十二条措施》第五条的规定，拟扶持的金额为5620元。（计算方式为：按照上一年度实际产生场地租金的50%给予不超过30万元的场地租金补贴，每月每平方米补贴不超过60元）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</si>
  <si>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4.通过计算办公场地租赁合同、经营场地的租金支付发票、租金支付统计表等，本次拟扶持金额为：5620元。</t>
  </si>
  <si>
    <t>港澳处、律所、会所三方审核结论一致，符合给予租金补贴5620元条件。</t>
  </si>
  <si>
    <t>深圳市前海深港合作区南山街道前海青年梦工场5号楼217</t>
  </si>
  <si>
    <t>91440300MA5HU19F80</t>
  </si>
  <si>
    <t>深圳市前海深港合作区前湾一路鲤鱼门街35号前海深港青年梦工场第5栋第217室</t>
  </si>
  <si>
    <t>20240115-20250409</t>
  </si>
  <si>
    <t>20240115-20240630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</si>
  <si>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4.根据《十二条措施》第五条的规定，拟扶持的金额为33110元。（计算方式为：按照上一年度实际产生场地租金的50%给予不超过30万元的场地租金补贴，每月每平方米补贴不超过60元）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</si>
  <si>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4.通过计算办公场地租赁合同、经营场地的租金支付发票、租金支付统计表等，本次拟扶持金额为：33110元。</t>
  </si>
  <si>
    <t>港澳处、律所、会所三方审核结论一致，符合给予租金补贴33110元条件。</t>
  </si>
  <si>
    <t>深圳市前海深港合作区南山街道梦海大道5188号前海深港青年梦工场北区3栋201D</t>
  </si>
  <si>
    <t>91440300MACNQKXU1B</t>
  </si>
  <si>
    <t>20240325-20260324</t>
  </si>
  <si>
    <t>20240325-20240630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</si>
  <si>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4.根据《十二条措施》第五条的规定，拟扶持的金额为16645元。（计算方式为：按照上一年度实际产生场地租金的50%给予不超过30万元的场地租金补贴，每月每平方米补贴不超过60元）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</si>
  <si>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4.通过计算办公场地租赁合同、经营场地的租金支付发票、租金支付统计表等，本次拟扶持金额为：16645元。</t>
  </si>
  <si>
    <t>港澳处、律所、会所三方审核结论一致，符合给予租金补贴16645元条件。</t>
  </si>
  <si>
    <t>深圳市前海深港合作区南山街道前湾一路35号深港青年梦工场10栋305</t>
  </si>
  <si>
    <t>91440300MACMB2RU1J</t>
  </si>
  <si>
    <t>20230515-20240514</t>
  </si>
  <si>
    <t>20230515-20230731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</si>
  <si>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4.根据《十二条措施》第五条的规定，拟扶持的金额为92782元。（计算方式为：按照上一年度实际产生场地租金的50%给予不超过30万元的场地租金补贴，每月每平方米补贴不超过60元）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</si>
  <si>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4.通过计算办公场地租赁合同、经营场地的租金支付发票、租金支付统计表等，本次拟扶持金额为：92782元。</t>
  </si>
  <si>
    <t>港澳处、律所、会所三方审核结论一致，符合给予租金补贴92782元条件。</t>
  </si>
  <si>
    <t>20230801-20240514</t>
  </si>
  <si>
    <t>20240515-20250514</t>
  </si>
  <si>
    <t>20240515-20240531</t>
  </si>
  <si>
    <t>20240601-20240630</t>
  </si>
  <si>
    <t>深圳市前海深港合作区南山街道梦海大道5188号前海深港青年梦工场北区8栋302G</t>
  </si>
  <si>
    <t>91440300MAD4C00XX1</t>
  </si>
  <si>
    <t>深圳市前海合作区前海青年梦工场北区8栋3层302G</t>
  </si>
  <si>
    <t>20231215-20241214</t>
  </si>
  <si>
    <t>20231215-20240630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</si>
  <si>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4.根据《十二条措施》第五条的规定，拟扶持的金额为15716元。（计算方式为：按照上一年度实际产生场地租金的50%给予不超过30万元的场地租金补贴，每月每平方米补贴不超过60元）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</si>
  <si>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4.通过计算办公场地租赁合同、经营场地的租金支付发票、租金支付统计表等，本次拟扶持金额为：15716元。</t>
  </si>
  <si>
    <t>港澳处、律所、会所三方审核结论一致，符合给予租金补贴15716元条件。</t>
  </si>
  <si>
    <t>深圳市前海深港合作区南山街道梦海大道5188号前海深港青年梦工场北区3栋202B2</t>
  </si>
  <si>
    <t>91440300MA5G7XGY97</t>
  </si>
  <si>
    <t>深圳市前海合作区前海青年梦工场北区C栋202、203单元</t>
  </si>
  <si>
    <t>20231116-20261215</t>
  </si>
  <si>
    <t>深圳市前海深港合作区南山街道梦海大道5188号前海深港青年梦工场北区8栋302C</t>
  </si>
  <si>
    <t>91440300MA5HM1J72R</t>
  </si>
  <si>
    <t>20221215-20231214</t>
  </si>
  <si>
    <t>20230701-20231214</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</si>
  <si>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4.根据《十二条措施》第五条的规定，拟扶持的金额为28800元。（计算方式为：按照上一年度实际产生场地租金的50%给予不超过30万元的场地租金补贴，每月每平方米补贴不超过60元）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</si>
  <si>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4.通过计算办公场地租赁合同、经营场地的租金支付发票、租金支付统计表等，本次拟扶持金额为：28800元。</t>
  </si>
  <si>
    <t>港澳处、律所、会所三方审核结论一致，符合给予租金补贴28800元条件。</t>
  </si>
  <si>
    <t>深圳市前海深港合作区南山街道前湾一路35号深港青年梦工场10栋205</t>
  </si>
  <si>
    <t>91440300MAD2L2U701</t>
  </si>
  <si>
    <t>20231010-20241009</t>
  </si>
  <si>
    <t>20231010-20240630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</si>
  <si>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4.根据《十二条措施》第五条的规定，拟扶持的金额为4354元。（计算方式为：按照上一年度实际产生场地租金的50%给予不超过30万元的场地租金补贴，每月每平方米补贴不超过60元）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</si>
  <si>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4.通过计算办公场地租赁合同、经营场地的租金支付发票、租金支付统计表等，本次拟扶持金额为：4354元。</t>
  </si>
  <si>
    <t>港澳处、律所、会所三方审核结论一致，符合给予租金补贴4354元条件。</t>
  </si>
  <si>
    <t>深圳市前海深港合作区南山街道前海青年梦工场2号楼204</t>
  </si>
  <si>
    <t>91440300MA5F1BD91L</t>
  </si>
  <si>
    <t>深圳市前海深港合作区南山街道前海青年梦工场2号楼203、204</t>
  </si>
  <si>
    <t>20231023-20250409</t>
  </si>
  <si>
    <t>20231224-20240630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</si>
  <si>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4.根据《十二条措施》第五条的规定，拟扶持的金额为81064元。（计算方式为：按照上一年度实际产生场地租金的50%给予不超过30万元的场地租金补贴，每月每平方米补贴不超过60元）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</si>
  <si>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4.通过计算办公场地租赁合同、经营场地的租金支付发票、租金支付统计表等，本次拟扶持金额为：81064元。</t>
  </si>
  <si>
    <t>港澳处、律所、会所三方审核结论一致，符合给予租金补贴81064元条件。</t>
  </si>
  <si>
    <t>深圳市前海深港合作区南山街道梦海大道5188号前海深港青年梦工场北区8栋302D</t>
  </si>
  <si>
    <t>91440300MA5HRMR356</t>
  </si>
  <si>
    <t>20230401-20240331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</si>
  <si>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4.根据《十二条措施》第五条的规定，拟扶持的金额为93600元。（计算方式为：按照上一年度实际产生场地租金的50%给予不超过30万元的场地租金补贴，每月每平方米补贴不超过60元）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</si>
  <si>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4.通过计算办公场地租赁合同、经营场地的租金支付发票、租金支付统计表等，本次拟扶持金额为：93600元。</t>
  </si>
  <si>
    <t>港澳处、律所、会所三方审核结论一致，符合给予租金补贴93600元条件。</t>
  </si>
  <si>
    <t>深圳市前海深港合作区南山街道梦海大道5188号前海深港青年梦工场北区4栋401Q</t>
  </si>
  <si>
    <t>91440300MA5HH9922C</t>
  </si>
  <si>
    <t>深圳市前海深港合作区前海深港青年梦工场北区4栋401Q室</t>
  </si>
  <si>
    <t>深圳市前海深港合作区前海深港青年梦工场北区4栋2楼办公室</t>
  </si>
  <si>
    <t>20231201-20240131</t>
  </si>
  <si>
    <t>20240201-20250123</t>
  </si>
  <si>
    <t>深圳市前海深港合作区南山街道梦海大道5188号前海深港青年梦工场北区4栋101</t>
  </si>
  <si>
    <t>91440300MACXLLFT3B</t>
  </si>
  <si>
    <t>20231001-20240131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</si>
  <si>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4.根据《十二条措施》第五条的规定，拟扶持的金额为206504元。（计算方式为：按照上一年度实际产生场地租金的50%给予不超过30万元的场地租金补贴，每月每平方米补贴不超过60元）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</si>
  <si>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4.通过计算办公场地租赁合同、经营场地的租金支付发票、租金支付统计表等，本次拟扶持金额为：206504元。</t>
  </si>
  <si>
    <t>港澳处、律所、会所三方审核结论一致，符合给予租金补贴206504元条件。</t>
  </si>
  <si>
    <t>深圳市前海深港青年梦工场北区4栋4楼401YD</t>
  </si>
  <si>
    <t>20240201-20260930</t>
  </si>
  <si>
    <t>深圳市前海深港合作区前海深港青年梦工场北区4栋1层101、102室</t>
  </si>
  <si>
    <t>20231215-20261214</t>
  </si>
  <si>
    <t>深圳市前海深港合作区南山街道前湾一路35号深港青年梦工场10栋209</t>
  </si>
  <si>
    <t>91440300MAD9Q3BE3Y</t>
  </si>
  <si>
    <t>深圳市前海深港合作区前海深港青年梦工场10栋2层201、209号</t>
  </si>
  <si>
    <t>20240101-20240630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</si>
  <si>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4.根据《十二条措施》第五条的规定，拟扶持的金额为96386元。（计算方式为：按照上一年度实际产生场地租金的50%给予不超过30万元的场地租金补贴，每月每平方米补贴不超过60元）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</si>
  <si>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4.通过计算办公场地租赁合同、经营场地的租金支付发票、租金支付统计表等，本次拟扶持金额为：96386元。</t>
  </si>
  <si>
    <t>港澳处、律所、会所三方审核结论一致，符合给予租金补贴96386元条件。</t>
  </si>
  <si>
    <t>深圳市前海深港合作区南山街道前海青年梦工场5号楼107</t>
  </si>
  <si>
    <t>91440300MA5G63J7X5</t>
  </si>
  <si>
    <t>深圳市前海深港合作区前湾一路鲤鱼门街35号前海深港青年梦工场第5栋第1层107室</t>
  </si>
  <si>
    <t>20230701-20231231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</si>
  <si>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4.根据《十二条措施》第五条的规定，拟扶持的金额为56409元。（计算方式为：按照上一年度实际产生场地租金的50%给予不超过30万元的场地租金补贴，每月每平方米补贴不超过60元）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</si>
  <si>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4.通过计算办公场地租赁合同、经营场地的租金支付发票、租金支付统计表等，本次拟扶持金额为：56409元。</t>
  </si>
  <si>
    <t>港澳处、律所、会所三方审核结论一致，符合给予租金补贴56409元条件。</t>
  </si>
  <si>
    <t>20240101-20241231</t>
  </si>
  <si>
    <t>20240101-20240531</t>
  </si>
  <si>
    <t>深圳市前海深港合作区前湾一路鲤鱼门街35号前海深港青年梦工场第5栋第1层113I室</t>
  </si>
  <si>
    <t>20240601-20241231</t>
  </si>
  <si>
    <t>深圳市前海深港合作区南山街道前湾一路35号深港青年梦工场10栋506</t>
  </si>
  <si>
    <t>91440300MACUT1ET3M</t>
  </si>
  <si>
    <t>深圳市前海深港合作区南山街道前湾一路35号前海深港青年梦工场10栋506、507、503</t>
  </si>
  <si>
    <t>20230901-20231216</t>
  </si>
  <si>
    <t>20230901-20231231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</si>
  <si>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4.根据《十二条措施》第五条的规定，拟扶持的金额为202646元。（计算方式为：按照上一年度实际产生场地租金的50%给予不超过30万元的场地租金补贴，每月每平方米补贴不超过60元）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</si>
  <si>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4.通过计算办公场地租赁合同、经营场地的租金支付发票、租金支付统计表等，本次拟扶持金额为：202646元。</t>
  </si>
  <si>
    <t>港澳处、律所、会所三方审核结论一致，符合给予租金补贴202646元条件。</t>
  </si>
  <si>
    <t>深圳市前海深港合作区南山街道梦海大道5188号前海深港青年梦工场北区4栋201B</t>
  </si>
  <si>
    <t>91440300MA5HE0LG21</t>
  </si>
  <si>
    <t>深圳前海深港青年梦工场北区4栋201B室</t>
  </si>
  <si>
    <t>20230701-20230930</t>
  </si>
  <si>
    <t>20231001-20231130</t>
  </si>
  <si>
    <t>20231201-20250331</t>
  </si>
  <si>
    <t>深圳市前海深港合作区南山街道梦海大道5188号前海深港青年梦工场北区4栋401U</t>
  </si>
  <si>
    <t>91440300MA5HJC8A06</t>
  </si>
  <si>
    <t>深圳前海深港青年梦工场北区4栋401U室</t>
  </si>
  <si>
    <t>深圳前海深港青年梦工场北区4栋5楼办公室</t>
  </si>
  <si>
    <t>20231201-20231231</t>
  </si>
  <si>
    <t>20240101-20250209</t>
  </si>
  <si>
    <t>深圳市前海深港合作区南山街道前海青年梦工场7号楼219</t>
  </si>
  <si>
    <t>91440300305817556J</t>
  </si>
  <si>
    <t>深圳市前海深港合作区前湾一路鲤鱼门街35号前海深港青年梦工场第7栋第219室整体空间、第217室开放活动路演空间</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</si>
  <si>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4.根据《十二条措施》第五条的规定，拟扶持的金额为50028元。（计算方式为：按照上一年度实际产生场地租金的50%给予不超过30万元的场地租金补贴，每月每平方米补贴不超过60元）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</si>
  <si>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4.通过计算办公场地租赁合同、经营场地的租金支付发票、租金支付统计表等，本次拟扶持金额为：50028元。</t>
  </si>
  <si>
    <t>港澳处、律所、会所三方审核结论一致，符合给予租金补贴50028元条件。</t>
  </si>
  <si>
    <t>20240101-20250409</t>
  </si>
  <si>
    <t>深圳市前海深港合作区南山街道前湾一路35号青年梦工场6号楼217</t>
  </si>
  <si>
    <t>91440300MADAGHMP8A</t>
  </si>
  <si>
    <t>前海深港青年梦工场6号楼217室的公共办公区域，工位编号为12的工位</t>
  </si>
  <si>
    <t>20240123-20250123</t>
  </si>
  <si>
    <t>20240123-20240630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</si>
  <si>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4.根据《十二条措施》第五条的规定，拟扶持的金额为2645元。（计算方式为：按照上一年度实际产生场地租金的50%给予不超过30万元的场地租金补贴，每月每平方米补贴不超过60元）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</si>
  <si>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4.通过计算办公场地租赁合同、经营场地的租金支付发票、租金支付统计表等，本次拟扶持金额为：2645元。</t>
  </si>
  <si>
    <t>港澳处、律所、会所三方审核结论一致，符合给予租金补贴2645元条件。</t>
  </si>
  <si>
    <t>深圳市前海深港合作区南山街道前湾一路35号深港青年梦工场10栋
408</t>
  </si>
  <si>
    <t>91440300MA5HDF9F39</t>
  </si>
  <si>
    <t>广东省深圳市前海深港合作区前湾一路鲤鱼门街35号前海深港青年梦工场第10栋4层_401-3</t>
  </si>
  <si>
    <t>20230506-20231031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</si>
  <si>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4.根据《十二条措施》第五条的规定，拟扶持的金额为50348元。（计算方式为：按照上一年度实际产生场地租金的50%给予不超过30万元的场地租金补贴，每月每平方米补贴不超过60元）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</si>
  <si>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4.通过计算办公场地租赁合同、经营场地的租金支付发票、租金支付统计表等，本次拟扶持金额为：50348元。</t>
  </si>
  <si>
    <t>港澳处、律所、会所三方审核结论一致，符合给予租金补贴50348元条件。</t>
  </si>
  <si>
    <t>深圳市前海深港合作区南山街道梦海大道5188号前海深港青年梦工场8栋301F4</t>
  </si>
  <si>
    <t>91440300MA5HFAMN9J</t>
  </si>
  <si>
    <t>深圳市前海合作区前海青年梦工场北区8栋3层301F4</t>
  </si>
  <si>
    <t>20230825-20240824</t>
  </si>
  <si>
    <t>20230825-20240630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</si>
  <si>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4.根据《十二条措施》第五条的规定，拟扶持的金额为12270元。（计算方式为：按照上一年度实际产生场地租金的50%给予不超过30万元的场地租金补贴，每月每平方米补贴不超过60元）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</si>
  <si>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4.通过计算办公场地租赁合同、经营场地的租金支付发票、租金支付统计表等，本次拟扶持金额为：12270元。</t>
  </si>
  <si>
    <t>港澳处、律所、会所三方审核结论一致，符合给予租金补贴12270元条件。</t>
  </si>
  <si>
    <t>深圳市前海深港合作区南山街道梦海大道5188号前海深港青年梦工场北区4栋401C</t>
  </si>
  <si>
    <t>91440300MA5HDM9E4N</t>
  </si>
  <si>
    <t>深圳前海深港青年梦工场北区4栋2楼办公室</t>
  </si>
  <si>
    <t>深圳前海深港青年梦工场北区4栋401C室</t>
  </si>
  <si>
    <t>20240201-20250608</t>
  </si>
  <si>
    <t>深圳市前海深港合作区南山街道梦海大道5188号前海深港青年梦工场北区8栋302L</t>
  </si>
  <si>
    <t>914403003595765086</t>
  </si>
  <si>
    <t>深圳市前海合作区前海青年梦工场北区8栋302L</t>
  </si>
  <si>
    <t>20230101-20241231</t>
  </si>
  <si>
    <t>20230901-20240630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</si>
  <si>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4.根据《十二条措施》第五条的规定，拟扶持的金额为211800元。（计算方式为：按照上一年度实际产生场地租金的50%给予不超过30万元的场地租金补贴，每月每平方米补贴不超过60元）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</si>
  <si>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4.通过计算办公场地租赁合同、经营场地的租金支付发票、租金支付统计表等，本次拟扶持金额为：211800元。</t>
  </si>
  <si>
    <t>港澳处、律所、会所三方审核结论一致，符合给予租金补贴211800元条件。</t>
  </si>
  <si>
    <t>深圳市前海深港合作区南山街道梦海大道5188号前海深港青年梦工场北
区4栋501A</t>
  </si>
  <si>
    <t>91440300MA5HT2XK98</t>
  </si>
  <si>
    <t>前海深港青年梦工场北区4栋501室</t>
  </si>
  <si>
    <t>20230401-20240430</t>
  </si>
  <si>
    <t>20230701-20240430</t>
  </si>
  <si>
    <t>20240501-20250430</t>
  </si>
  <si>
    <t>深圳市前海深港合作区南山街道梦海大道5188号前海深港青年梦工
场北区7栋402</t>
  </si>
  <si>
    <t>91440300MA5HWAMC14</t>
  </si>
  <si>
    <t>深圳市前海深港合作区前海深港青年梦工场北区7栋402</t>
  </si>
  <si>
    <t>20230408-20240531</t>
  </si>
  <si>
    <t>20230622-20230630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</si>
  <si>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4.根据《十二条措施》第五条的规定，拟扶持的金额为309428元。（计算方式为：按照上一年度实际产生场地租金的50%给予不超过30万元的场地租金补贴，每月每平方米补贴不超过60元）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</si>
  <si>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4.通过计算办公场地租赁合同、经营场地的租金支付发票、租金支付统计表等，本次拟扶持金额为：309428元。</t>
  </si>
  <si>
    <t>港澳处、律所、会所三方审核结论一致，符合给予租金补贴309428元条件。</t>
  </si>
  <si>
    <t>20230701-20240531</t>
  </si>
  <si>
    <t>20240601-20250531</t>
  </si>
  <si>
    <t>深圳市前海深港现代服务合作区桂湾片区四单元08、09街坊前海深港青年梦工场北区第1栋第2层201、202室物业/区</t>
  </si>
  <si>
    <t>20230901-20260831</t>
  </si>
  <si>
    <t>深圳市前海深港合作区南山街道前湾一路35号深港青年梦工场10栋602E</t>
  </si>
  <si>
    <t>91440300MACPGA33X9</t>
  </si>
  <si>
    <t>前海深港合作区前菏-路鲤鱼门街35号前海深港青年梦工场第10栋6层602E室</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</si>
  <si>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4.根据《十二条措施》第五条的规定，拟扶持的金额为28920元。（计算方式为：按照上一年度实际产生场地租金的50%给予不超过30万元的场地租金补贴，每月每平方米补贴不超过60元）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</si>
  <si>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4.通过计算办公场地租赁合同、经营场地的租金支付发票、租金支付统计表等，本次拟扶持金额为：28920元。</t>
  </si>
  <si>
    <t>前海深港合作区前菏-路鲤鱼门街35号前海深港青年梦工场第10栋6层602D室05、06座位物业</t>
  </si>
  <si>
    <t>91440300MACP8B9U8C</t>
  </si>
  <si>
    <t>前海深港合作区前湾一路鲤鱼门街35号前海深港青年梦工场二期10栋3楼301</t>
  </si>
  <si>
    <t>20230712-20240711</t>
  </si>
  <si>
    <t>20230712-20240630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</si>
  <si>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4.根据《十二条措施》第五条的规定，拟扶持的金额为6987元。（计算方式为：按照上一年度实际产生场地租金的50%给予不超过30万元的场地租金补贴，每月每平方米补贴不超过60元）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</si>
  <si>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4.通过计算办公场地租赁合同、经营场地的租金支付发票、租金支付统计表等，本次拟扶持金额为：6987元。</t>
  </si>
  <si>
    <t>91440300MADA5QGQ2R</t>
  </si>
  <si>
    <t>前海深港青年梦工场二期10栋3楼301</t>
  </si>
  <si>
    <t>深圳市前海深港合作区南山街道梦海大道5188号前海深港青年梦工场北区7栋2033</t>
  </si>
  <si>
    <t>91440300MA5HW4AJ60</t>
  </si>
  <si>
    <t>前海深港合作区南山街道梦海大道5188号前海青年梦工场北区7栋203-3</t>
  </si>
  <si>
    <t>20231001-20250511</t>
  </si>
  <si>
    <t>20231001-20240630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</si>
  <si>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4.根据《十二条措施》第五条的规定，拟扶持的金额为67334元。（计算方式为：按照上一年度实际产生场地租金的50%给予不超过30万元的场地租金补贴，每月每平方米补贴不超过60元）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</si>
  <si>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4.通过计算办公场地租赁合同、经营场地的租金支付发票、租金支付统计表等，本次拟扶持金额为：67334元。</t>
  </si>
  <si>
    <t>91440300MAD8QABFXG</t>
  </si>
  <si>
    <t>20240104-20250103</t>
  </si>
  <si>
    <t>20240104-20240630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</si>
  <si>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4.根据《十二条措施》第五条的规定，拟扶持的金额为3541元。（计算方式为：按照上一年度实际产生场地租金的50%给予不超过30万元的场地租金补贴，每月每平方米补贴不超过60元）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</si>
  <si>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4.通过计算办公场地租赁合同、经营场地的租金支付发票、租金支付统计表等，本次拟扶持金额为：3541元。</t>
  </si>
  <si>
    <t>深圳市前海深港合作区南山街道前湾一路35号青年梦工场6号楼218</t>
  </si>
  <si>
    <t>91440300MACT4TWD6Q</t>
  </si>
  <si>
    <t>前海深港青年梦工场6号楼2层218办公室</t>
  </si>
  <si>
    <t>20231010-20240518</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</si>
  <si>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4.根据《十二条措施》第五条的规定，拟扶持的金额为33559元。（计算方式为：按照上一年度实际产生场地租金的50%给予不超过30万元的场地租金补贴，每月每平方米补贴不超过60元）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</si>
  <si>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4.通过计算办公场地租赁合同、经营场地的租金支付发票、租金支付统计表等，本次拟扶持金额为：33559元。</t>
  </si>
  <si>
    <t>20240610-20240630</t>
  </si>
  <si>
    <t>91440300MADAAX6023</t>
  </si>
  <si>
    <t>深圳市前海深港合作区南山街道梦海大道5188号前海深港青年梦工场北区7栋203-14</t>
  </si>
  <si>
    <t>91440300MAD9W8RD3G</t>
  </si>
  <si>
    <t>前海深港合作区前海深港青年梦工场北区7栋203-14</t>
  </si>
  <si>
    <t>20240121-20250120</t>
  </si>
  <si>
    <t>20240121-20240630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</si>
  <si>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4.根据《十二条措施》第五条的规定，拟扶持的金额为3212元。（计算方式为：按照上一年度实际产生场地租金的50%给予不超过30万元的场地租金补贴，每月每平方米补贴不超过60元）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</si>
  <si>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4.通过计算办公场地租赁合同、经营场地的租金支付发票、租金支付统计表等，本次拟扶持金额为：3212元。</t>
  </si>
  <si>
    <t>深圳市前海深港合作区南山街道前湾一路35号青年梦工场6号楼221（一照多址企业）</t>
  </si>
  <si>
    <t>91440300MA5HKNYP4W</t>
  </si>
  <si>
    <t>前海深港青年梦工场6号楼2层221</t>
  </si>
  <si>
    <t>20221114-20231113</t>
  </si>
  <si>
    <t>20230701-20231113</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</si>
  <si>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4.根据《十二条措施》第五条的规定，拟扶持的金额为22120元。（计算方式为：按照上一年度实际产生场地租金的50%给予不超过30万元的场地租金补贴，每月每平方米补贴不超过60元）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</si>
  <si>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4.通过计算办公场地租赁合同、经营场地的租金支付发票、租金支付统计表等，本次拟扶持金额为：22120元。</t>
  </si>
  <si>
    <t>前海深港青年梦工场6号楼217室的公共办公区域，工位编号为【9】的工位</t>
  </si>
  <si>
    <t>20231201-20241201</t>
  </si>
  <si>
    <t>深圳市前海深港合作区南山街道前湾一路35号深港青年梦工场10栋206</t>
  </si>
  <si>
    <t>91440300MACWUWL96W</t>
  </si>
  <si>
    <t>前海深港合作区前海深港青年前年梦工场10栋02层206号房间</t>
  </si>
  <si>
    <t>20230912-20240911</t>
  </si>
  <si>
    <t>20230912-20240630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</si>
  <si>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4.根据《十二条措施》第五条的规定，拟扶持的金额为59534元。（计算方式为：按照上一年度实际产生场地租金的50%给予不超过30万元的场地租金补贴，每月每平方米补贴不超过60元）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</si>
  <si>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4.通过计算办公场地租赁合同、经营场地的租金支付发票、租金支付统计表等，本次拟扶持金额为：59534元。</t>
  </si>
  <si>
    <t>深圳市前海深港合作区南山街道前湾一路35号深港青年梦工场10栋302</t>
  </si>
  <si>
    <t>91440300MADAHCCP6L</t>
  </si>
  <si>
    <t>前海深港合作区前湾一路鲤鱼门街35号前海深港青年梦工场二期10栋3楼</t>
  </si>
  <si>
    <t>20231030-20241029</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</si>
  <si>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4.根据《十二条措施》第五条的规定，拟扶持的金额为3600元。（计算方式为：按照上一年度实际产生场地租金的50%给予不超过30万元的场地租金补贴，每月每平方米补贴不超过60元）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</si>
  <si>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4.通过计算办公场地租赁合同、经营场地的租金支付发票、租金支付统计表等，本次拟扶持金额为：3600元。</t>
  </si>
  <si>
    <t>91440300MACUTWY163</t>
  </si>
  <si>
    <t>深圳市前海深港合作区前海深港青年梦工场二期10栋3楼卡位306</t>
  </si>
  <si>
    <t>20230601-20241217</t>
  </si>
  <si>
    <t>91440300MACM5EW919</t>
  </si>
  <si>
    <t>深圳市前海深港合作区前海深港青年梦工场二期10栋3楼卡位301</t>
  </si>
  <si>
    <t>20230316-20250315</t>
  </si>
  <si>
    <t>20230316-20240630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</si>
  <si>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4.根据《十二条措施》第五条的规定，拟扶持的金额为9309元。（计算方式为：按照上一年度实际产生场地租金的50%给予不超过30万元的场地租金补贴，每月每平方米补贴不超过60元）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</si>
  <si>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4.通过计算办公场地租赁合同、经营场地的租金支付发票、租金支付统计表等，本次拟扶持金额为：9309元。</t>
  </si>
  <si>
    <t>深圳市前海深港合作区南山街道梦海大道5188号前海深港青年梦工场北区8栋301F28</t>
  </si>
  <si>
    <t>91440300MAD12656XU</t>
  </si>
  <si>
    <t>前海合作区前海青年梦工场北区8栋4层（4020、402C、CR04）</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</si>
  <si>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4.根据《十二条措施》第五条的规定，拟扶持的金额为54720元。（计算方式为：按照上一年度实际产生场地租金的50%给予不超过30万元的场地租金补贴，每月每平方米补贴不超过60元）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</si>
  <si>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4.通过计算办公场地租赁合同、经营场地的租金支付发票、租金支付统计表等，本次拟扶持金额为：54720元。</t>
  </si>
  <si>
    <t>91440300MA5GKQAR5C</t>
  </si>
  <si>
    <t>前海深港合作区前海深港青年前年梦工场10栋02层211室8卡位</t>
  </si>
  <si>
    <t>20230101-20331231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</si>
  <si>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4.根据《十二条措施》第五条的规定，拟扶持的金额为27616元。（计算方式为：按照上一年度实际产生场地租金的50%给予不超过30万元的场地租金补贴，每月每平方米补贴不超过60元）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</si>
  <si>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4.通过计算办公场地租赁合同、经营场地的租金支付发票、租金支付统计表等，本次拟扶持金额为：27616元。</t>
  </si>
  <si>
    <t>前海深港合作区前海深港青年前年梦工场10栋02层214</t>
  </si>
  <si>
    <t>前海深港合作区前海深港青年梦工场10栋_02_层_214房1流动办公卡位</t>
  </si>
  <si>
    <t>20240201-20250131</t>
  </si>
  <si>
    <t>深圳市前海深港合作区南山街道梦海大道5188号前海深港青年梦工场北区8栋401D</t>
  </si>
  <si>
    <t>91440300MA5HHPF752</t>
  </si>
  <si>
    <t>前海深港合作区南山街道梦海大道5188号前海深港青年梦工场北区8栋401D办公室</t>
  </si>
  <si>
    <t>20230501-20230830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</si>
  <si>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4.根据《十二条措施》第五条的规定，拟扶持的金额为17580元。（计算方式为：按照上一年度实际产生场地租金的50%给予不超过30万元的场地租金补贴，每月每平方米补贴不超过60元）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</si>
  <si>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4.通过计算办公场地租赁合同、经营场地的租金支付发票、租金支付统计表等，本次拟扶持金额为：17580元。</t>
  </si>
  <si>
    <t>前海合作区前海青年梦工场北区8栋3层301F29</t>
  </si>
  <si>
    <t>20230901-20240831</t>
  </si>
  <si>
    <t>20231001-20240229</t>
  </si>
  <si>
    <t>深圳市前海深港合作区南山街道梦海大道5188号前海深港青年梦工场北区9栋301</t>
  </si>
  <si>
    <t>91440300MAD92KL835</t>
  </si>
  <si>
    <t>深圳市前海深港合作区深港青年梦工场北区H栋第3层</t>
  </si>
  <si>
    <t>20240301-20270228</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</si>
  <si>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4.根据《十二条措施》第五条的规定，拟扶持的金额为100377元。（计算方式为：按照上一年度实际产生场地租金的50%给予不超过30万元的场地租金补贴，每月每平方米补贴不超过60元）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</si>
  <si>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4.通过计算办公场地租赁合同、经营场地的租金支付发票、租金支付统计表等，本次拟扶持金额为：100377元。</t>
  </si>
  <si>
    <t>深圳市前海深港合作区南山街道梦海大道5188号前海深港青年梦工场北区8栋302R4</t>
  </si>
  <si>
    <t>91440300MA5G38TU96</t>
  </si>
  <si>
    <t>前海合作区前海青年梦工场北区8栋4层402A、402B、402I、402D、402E、402F、402G、402H、402J、402K、402M、402L、402N、CR03、CR04</t>
  </si>
  <si>
    <t>20230701-20240229</t>
  </si>
  <si>
    <t>前海合作区前海青年梦工场北区8栋4层间402B、4021、402D、402E、402C、402H、402R</t>
  </si>
  <si>
    <t>深圳市前海深港合作区南山街道梦海大道5188号前海深港青年梦工场北区3栋103C、D、E、F、G、H</t>
  </si>
  <si>
    <t>91440300MA5H3FYA7A</t>
  </si>
  <si>
    <t>前海合作区前海青年梦工场北区3栋103C、103D、103E、103F、103G、103H</t>
  </si>
  <si>
    <t>20230108-20240108</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</si>
  <si>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4.根据《十二条措施》第五条的规定，拟扶持的金额为129956元。（计算方式为：按照上一年度实际产生场地租金的50%给予不超过30万元的场地租金补贴，每月每平方米补贴不超过60元）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</si>
  <si>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4.通过计算办公场地租赁合同、经营场地的租金支付发票、租金支付统计表等，本次拟扶持金额为：129956元。</t>
  </si>
  <si>
    <t>前海合作区前海青年梦工场北区3栋1层CR01-5</t>
  </si>
  <si>
    <t>20240109-20250108</t>
  </si>
  <si>
    <t>20240109-20240630</t>
  </si>
  <si>
    <t>91440300MAD8Q13A3C</t>
  </si>
  <si>
    <t>深圳市前海深港合作区南山街道梦海大道5188号前海深港青年梦工场北区8栋301F7</t>
  </si>
  <si>
    <t>91440300MA5HLCM92L</t>
  </si>
  <si>
    <t>深圳市前海合作区前海青年梦工场北区8栋3层301A、301B、301C</t>
  </si>
  <si>
    <t>20230512-20240511</t>
  </si>
  <si>
    <t>20230512-20240630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</si>
  <si>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4.根据《十二条措施》第五条的规定，拟扶持的金额为122806元。（计算方式为：按照上一年度实际产生场地租金的50%给予不超过30万元的场地租金补贴，每月每平方米补贴不超过60元）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</si>
  <si>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4.通过计算办公场地租赁合同、经营场地的租金支付发票、租金支付统计表等，本次拟扶持金额为：122806元。</t>
  </si>
  <si>
    <t>深圳市前海深港合作区南山街道前湾一路35号深港青年梦工场10栋310</t>
  </si>
  <si>
    <t>91440300MA5HQGUR9Q</t>
  </si>
  <si>
    <t>前海深港合作区前湾一路鲤鱼门街35号前海深港青年梦工场二期10栋3楼卡位310</t>
  </si>
  <si>
    <t>20230302-20241217</t>
  </si>
  <si>
    <t>20230302-20240630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</si>
  <si>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4.根据《十二条措施》第五条的规定，拟扶持的金额为9580元。（计算方式为：按照上一年度实际产生场地租金的50%给予不超过30万元的场地租金补贴，每月每平方米补贴不超过60元）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</si>
  <si>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4.通过计算办公场地租赁合同、经营场地的租金支付发票、租金支付统计表等，本次拟扶持金额为：9580元。</t>
  </si>
  <si>
    <t>深圳市前海深港合作区南山街道桂湾片区二单元前海卓越金融中心（一期）8号楼407A1</t>
  </si>
  <si>
    <t>91440300MA5GWK2K6D</t>
  </si>
  <si>
    <t>前海深港合作区南山街道梦海大道5188号前海深港青年梦工场北区8栋401A</t>
  </si>
  <si>
    <t>20230615-20231031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</si>
  <si>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4.根据《十二条措施》第五条的规定，拟扶持的金额为48384元。（计算方式为：按照上一年度实际产生场地租金的50%给予不超过30万元的场地租金补贴，每月每平方米补贴不超过60元）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</si>
  <si>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4.通过计算办公场地租赁合同、经营场地的租金支付发票、租金支付统计表等，本次拟扶持金额为：48384元。</t>
  </si>
  <si>
    <t>前海深港合作区南山街道梦海大道5188号前海深港青年梦工场北区8栋401P</t>
  </si>
  <si>
    <t>20231101-20241031</t>
  </si>
  <si>
    <t>20231101-20240630</t>
  </si>
  <si>
    <t>91440300MA5H23JJ70</t>
  </si>
  <si>
    <t>前海深港合作区前湾一路鲤鱼门街35号前海深港青年梦工场第10栋第4层406-1室</t>
  </si>
  <si>
    <t>20230718-20240531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</si>
  <si>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4.根据《十二条措施》第五条的规定，拟扶持的金额为113299元。（计算方式为：按照上一年度实际产生场地租金的50%给予不超过30万元的场地租金补贴，每月每平方米补贴不超过60元）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</si>
  <si>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4.通过计算办公场地租赁合同、经营场地的租金支付发票、租金支付统计表等，本次拟扶持金额为：113299元。</t>
  </si>
  <si>
    <t>深圳市前海深港合作区南山街道梦海大道5033号前海卓越金融中心（一期）8号楼409-41</t>
  </si>
  <si>
    <t>91440300MADA57UX72</t>
  </si>
  <si>
    <t>深圳市南山区前海深港合作区卓越前海壹号B栋408</t>
  </si>
  <si>
    <t>20240115-20250114</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</si>
  <si>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4.根据《十二条措施》第五条的规定，拟扶持的金额为1664元。（计算方式为：按照上一年度实际产生场地租金的50%给予不超过30万元的场地租金补贴，每月每平方米补贴不超过60元）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</si>
  <si>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4.通过计算办公场地租赁合同、经营场地的租金支付发票、租金支付统计表等，本次拟扶持金额为：1664元。</t>
  </si>
  <si>
    <t>深圳市前海深港合作区南山街道前海青年梦工场7号楼102</t>
  </si>
  <si>
    <t>91440300MA5GLWJN1Y</t>
  </si>
  <si>
    <t>前海深港合作区前湾一路鲤鱼门街35号前海深港青年梦工场第7栋第101、102、103、104室物业</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</si>
  <si>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4.根据《十二条措施》第五条的规定，拟扶持的金额为120739元。（计算方式为：按照上一年度实际产生场地租金的50%给予不超过30万元的场地租金补贴，每月每平方米补贴不超过60元）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</si>
  <si>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4.通过计算办公场地租赁合同、经营场地的租金支付发票、租金支付统计表等，本次拟扶持金额为：120739元。</t>
  </si>
  <si>
    <t>前海深港合作区前湾一路鲤鱼门街35号前海深港青年梦工场第5栋第1层108室</t>
  </si>
  <si>
    <t>20230201-20231231</t>
  </si>
  <si>
    <t>前海深港合作区前湾一路鲤鱼门街35号前海深港青年梦工场第5栋第1层113CD室</t>
  </si>
  <si>
    <t>20230203-20231231</t>
  </si>
  <si>
    <t>前海合作区前海青年梦工场5栋217</t>
  </si>
  <si>
    <t>20210410-20221231</t>
  </si>
  <si>
    <t>20220701-20220731</t>
  </si>
  <si>
    <t>深圳市前海深港合作区南山街道梦海大道5188号前海深港青年梦工场北区3栋102F1</t>
  </si>
  <si>
    <t>91440300MACRD6Q49L</t>
  </si>
  <si>
    <t>南山区南山街道桂湾社区梦海大道5188号前海深港青年梦工场北区3栋102F1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</si>
  <si>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4.根据《十二条措施》第五条的规定，拟扶持的金额为10560元。（计算方式为：按照上一年度实际产生场地租金的50%给予不超过30万元的场地租金补贴，每月每平方米补贴不超过60元）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</si>
  <si>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4.通过计算办公场地租赁合同、经营场地的租金支付发票、租金支付统计表等，本次拟扶持金额为：10560元。</t>
  </si>
  <si>
    <t>91440300MA5H6F6T04</t>
  </si>
  <si>
    <t>深圳市前海深港合作区南山街道前湾一路35号深港青年梦工场10号楼4层411卡位</t>
  </si>
  <si>
    <t>20220506-20231216</t>
  </si>
  <si>
    <t>20220701-20221031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</si>
  <si>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4.根据《十二条措施》第五条的规定，拟扶持的金额为22730元。（计算方式为：按照上一年度实际产生场地租金的50%给予不超过30万元的场地租金补贴，每月每平方米补贴不超过60元）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</si>
  <si>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4.通过计算办公场地租赁合同、经营场地的租金支付发票、租金支付统计表等，本次拟扶持金额为：22730元。</t>
  </si>
  <si>
    <t>20221101-20221231</t>
  </si>
  <si>
    <t>20230201-20231130</t>
  </si>
  <si>
    <t>深圳市前海深港合作区南山街道前湾一路35号深港青年梦工场10号楼4层406C</t>
  </si>
  <si>
    <t>深圳市前海深港合作区南山街道梦海大道5188号前海深港青年梦工场北区7栋203-15</t>
  </si>
  <si>
    <t>91440300MADB934DXP</t>
  </si>
  <si>
    <t>前海深港合作区南山街道梦海大道5188号前海青年梦工场北区7栋203-15</t>
  </si>
  <si>
    <t>20240201-20240331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</si>
  <si>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4.根据《十二条措施》第五条的规定，拟扶持的金额为6762元。（计算方式为：按照上一年度实际产生场地租金的50%给予不超过30万元的场地租金补贴，每月每平方米补贴不超过60元）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</si>
  <si>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4.通过计算办公场地租赁合同、经营场地的租金支付发票、租金支付统计表等，本次拟扶持金额为：6762元。</t>
  </si>
  <si>
    <t>20240401-20250131</t>
  </si>
  <si>
    <t>深圳市前海深港合作区南山街道梦海大道5188号前海深港青年梦工场北区7栋203-16</t>
  </si>
  <si>
    <t>91440300MADATP3J0Y</t>
  </si>
  <si>
    <t>前海深港合作区南山街道梦海大道5188号前海青年梦工场北区7栋203-16</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</si>
  <si>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4.根据《十二条措施》第五条的规定，拟扶持的金额为3000元。（计算方式为：按照上一年度实际产生场地租金的50%给予不超过30万元的场地租金补贴，每月每平方米补贴不超过60元）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</si>
  <si>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4.通过计算办公场地租赁合同、经营场地的租金支付发票、租金支付统计表等，本次拟扶持金额为：3000元。</t>
  </si>
  <si>
    <t>深圳市前海深港合作区南山街道前湾一路35号深港青年梦工场10栋312</t>
  </si>
  <si>
    <t>91440300MAD5HUM69Y</t>
  </si>
  <si>
    <t>前海深港合作区南山街道前湾一路35号深港青年梦工场10栋312</t>
  </si>
  <si>
    <t>20231010-20241216</t>
  </si>
  <si>
    <t>前海深港合作区南山街道前湾一路35号深港青年梦工场10栋302、303、311</t>
  </si>
  <si>
    <t>深圳市前海深港合作区南山街道前湾一路35号深港青年梦工场10栋405卡座</t>
  </si>
  <si>
    <t>91440300MADAFKLBX0</t>
  </si>
  <si>
    <t>前海深港合作区南山街道前湾一路35号深港青年梦工场10栋405</t>
  </si>
  <si>
    <t>91440300MA5GEQ876T</t>
  </si>
  <si>
    <t>前海深港合作区南山街道前湾一路35号深港青年梦工场10栋310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</si>
  <si>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4.根据《十二条措施》第五条的规定，拟扶持的金额为28049元。（计算方式为：按照上一年度实际产生场地租金的50%给予不超过30万元的场地租金补贴，每月每平方米补贴不超过60元）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</si>
  <si>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4.通过计算办公场地租赁合同、经营场地的租金支付发票、租金支付统计表等，本次拟扶持金额为：28049元。</t>
  </si>
  <si>
    <t>20221020-20231019</t>
  </si>
  <si>
    <t>20230701-20230831</t>
  </si>
  <si>
    <t>20230901-20231019</t>
  </si>
  <si>
    <t>深圳市前海深港合作区南山街道前湾一路35号青年梦工场6号楼214</t>
  </si>
  <si>
    <t>91440300MA5GNYQT13</t>
  </si>
  <si>
    <t>前海深港合作区南山街道前湾一路35号青年梦工场6号楼213、214</t>
  </si>
  <si>
    <t>20230601-20230731</t>
  </si>
  <si>
    <t>20230701-20230731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</si>
  <si>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4.根据《十二条措施》第五条的规定，拟扶持的金额为27546元。（计算方式为：按照上一年度实际产生场地租金的50%给予不超过30万元的场地租金补贴，每月每平方米补贴不超过60元）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</si>
  <si>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4.通过计算办公场地租赁合同、经营场地的租金支付发票、租金支付统计表等，本次拟扶持金额为：27546元。</t>
  </si>
  <si>
    <t>前海深港合作区南山街道前湾一路35号青年梦工场6号楼214</t>
  </si>
  <si>
    <t>20230801-20250409</t>
  </si>
  <si>
    <t>深圳市前海深港合作区南山街道前湾一路35号深港青年梦工场10栋207</t>
  </si>
  <si>
    <t>91440300MACUPD8T6C</t>
  </si>
  <si>
    <t>前海深港合作区南山街道前湾一路35号深港青年梦工场10栋214室1-3号流动卡位</t>
  </si>
  <si>
    <t>20230808-20240101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</si>
  <si>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4.根据《十二条措施》第五条的规定，拟扶持的金额为25122元。（计算方式为：按照上一年度实际产生场地租金的50%给予不超过30万元的场地租金补贴，每月每平方米补贴不超过60元）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</si>
  <si>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4.通过计算办公场地租赁合同、经营场地的租金支付发票、租金支付统计表等，本次拟扶持金额为：25122元。</t>
  </si>
  <si>
    <t>20240102-20240807</t>
  </si>
  <si>
    <t>20240102-20240630</t>
  </si>
  <si>
    <t>深圳市前海深港合作区南山街道梦海大道5188号前海深港青年梦工场北区7栋203-6</t>
  </si>
  <si>
    <t>91440300MA5H9FFJ2C</t>
  </si>
  <si>
    <t>前海深港合作区南山街道梦海大道5188号前海深港青年梦工场北区7栋203-6</t>
  </si>
  <si>
    <t>深圳市前海深港合作区南山街道前湾一路35号深港青年梦工场10栋405</t>
  </si>
  <si>
    <t>91440300MA5HF1GE27</t>
  </si>
  <si>
    <t>南山区东滨路与月亮湾大道交汇处前海深港青年梦工场6号楼207室</t>
  </si>
  <si>
    <t>20220901-20230831</t>
  </si>
  <si>
    <t>20230701-20230830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</si>
  <si>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4.根据《十二条措施》第五条的规定，拟扶持的金额为6789元。（计算方式为：按照上一年度实际产生场地租金的50%给予不超过30万元的场地租金补贴，每月每平方米补贴不超过60元）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</si>
  <si>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4.通过计算办公场地租赁合同、经营场地的租金支付发票、租金支付统计表等，本次拟扶持金额为：6789元。</t>
  </si>
  <si>
    <t>深圳市前海深港合作区南山街道梦海大道5188号前海深港青年梦工场北区3栋201C12</t>
  </si>
  <si>
    <t>91440300MADA5G166L</t>
  </si>
  <si>
    <t>前海合作区前海青年梦工场北区3栋1层、2层</t>
  </si>
  <si>
    <t>20240218-20240630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</si>
  <si>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4.根据《十二条措施》第五条的规定，拟扶持的金额为140358元。（计算方式为：按照上一年度实际产生场地租金的50%给予不超过30万元的场地租金补贴，每月每平方米补贴不超过60元）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</si>
  <si>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4.通过计算办公场地租赁合同、经营场地的租金支付发票、租金支付统计表等，本次拟扶持金额为：140358元。</t>
  </si>
  <si>
    <t>深圳市前海深港合作区南山街道前湾一路35号深港青年梦工场10栋501</t>
  </si>
  <si>
    <t>91440300MAD68BFG67</t>
  </si>
  <si>
    <t>前海深港合作区南山街道前湾一路35号深港青年梦工场10栋501</t>
  </si>
  <si>
    <t>20231201-20241216</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</si>
  <si>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4.根据《十二条措施》第五条的规定，拟扶持的金额为125580元。（计算方式为：按照上一年度实际产生场地租金的50%给予不超过30万元的场地租金补贴，每月每平方米补贴不超过60元）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</si>
  <si>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4.通过计算办公场地租赁合同、经营场地的租金支付发票、租金支付统计表等，本次拟扶持金额为：125580元。</t>
  </si>
  <si>
    <t>深圳市前海深港合作区南山街道前湾一路35号深港青年梦工场10栋512</t>
  </si>
  <si>
    <t>91440300MAD8RC3M7B</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</si>
  <si>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4.根据《十二条措施》第五条的规定，拟扶持的金额为299460元。（计算方式为：按照上一年度实际产生场地租金的50%给予不超过30万元的场地租金补贴，每月每平方米补贴不超过60元）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</si>
  <si>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4.通过计算办公场地租赁合同、经营场地的租金支付发票、租金支付统计表等，本次拟扶持金额为：299460元。</t>
  </si>
  <si>
    <t>深圳市前海深港合作区南山街道前湾一路35号深港青年梦工场10栋502</t>
  </si>
  <si>
    <t>91440300MA5HP34A3E</t>
  </si>
  <si>
    <t>前海深港合作区南山街道前湾一路35号深港青年梦工场10栋501、502</t>
  </si>
  <si>
    <t>20230221-20231031</t>
  </si>
  <si>
    <t>20231101-20231130</t>
  </si>
  <si>
    <t>深圳市前海深港合作区南山街道前湾一路35号青年梦工场6号楼112A</t>
  </si>
  <si>
    <t>91440300MA5H5AYL4N</t>
  </si>
  <si>
    <t>前海深港青年梦工场中区5栋222</t>
  </si>
  <si>
    <t>20240226-20250225</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</si>
  <si>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4.根据《十二条措施》第五条的规定，拟扶持的金额为134943元。（计算方式为：按照上一年度实际产生场地租金的50%给予不超过30万元的场地租金补贴，每月每平方米补贴不超过60元）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</si>
  <si>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4.通过计算办公场地租赁合同、经营场地的租金支付发票、租金支付统计表等，本次拟扶持金额为：134943元。</t>
  </si>
  <si>
    <t>前海深港青年梦工场中区6栋112</t>
  </si>
  <si>
    <t>深圳市前海深港合作区南山街道梦海大道5188号前海深港青年梦工场北区7栋203-23</t>
  </si>
  <si>
    <t>91440300MAD91PBL4N</t>
  </si>
  <si>
    <t>前海深港合作区南山街道梦海大道5188号前海深港青年梦工场北区7栋203-23</t>
  </si>
  <si>
    <t>20240527-20250526</t>
  </si>
  <si>
    <t>20240527-20240630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</si>
  <si>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4.根据《十二条措施》第五条的规定，拟扶持的金额为487元。（计算方式为：按照上一年度实际产生场地租金的50%给予不超过30万元的场地租金补贴，每月每平方米补贴不超过60元）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</si>
  <si>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4.通过计算办公场地租赁合同、经营场地的租金支付发票、租金支付统计表等，本次拟扶持金额为：487元。</t>
  </si>
  <si>
    <t>深圳市前海深港合作区南山街道梦海大道5188号前海深港青年梦工场北区9栋101</t>
  </si>
  <si>
    <t>91440300MA5H588NXT</t>
  </si>
  <si>
    <t>前海深港合作区前海深港青年梦工场北区第4栋5楼</t>
  </si>
  <si>
    <t>20240222-20240630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</si>
  <si>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4.根据《十二条措施》第五条的规定，拟扶持的金额为274303元。（计算方式为：按照上一年度实际产生场地租金的50%给予不超过30万元的场地租金补贴，每月每平方米补贴不超过60元）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</si>
  <si>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4.通过计算办公场地租赁合同、经营场地的租金支付发票、租金支付统计表等，本次拟扶持金额为：274303元。</t>
  </si>
  <si>
    <t>前海深港合作区前海深港青年梦工场北区H栋1层101</t>
  </si>
  <si>
    <t>20240620-20270419</t>
  </si>
  <si>
    <t>20240620-20240630</t>
  </si>
  <si>
    <t>深圳市前海深港合作区南山街道前湾一路35号深港青年梦工场10栋201</t>
  </si>
  <si>
    <t>91440300MAD9PQ4M18</t>
  </si>
  <si>
    <t>前海深港合作区南山街道前湾一路35号深港青年梦工场10栋216</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</si>
  <si>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4.根据《十二条措施》第五条的规定，拟扶持的金额为36405元。（计算方式为：按照上一年度实际产生场地租金的50%给予不超过30万元的场地租金补贴，每月每平方米补贴不超过60元）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</si>
  <si>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4.通过计算办公场地租赁合同、经营场地的租金支付发票、租金支付统计表等，本次拟扶持金额为：36405元。</t>
  </si>
  <si>
    <t>前海深港合作区南山街道前湾一路35号深港青年梦工场10栋203</t>
  </si>
  <si>
    <t>20240101-20240229</t>
  </si>
  <si>
    <t>前海深港合作区南山街道前湾一路35号深港青年梦工场10栋216、203</t>
  </si>
  <si>
    <t>20240301-20240531</t>
  </si>
  <si>
    <t>前海深港合作区南山街道前湾一路35号深港青年梦工场10栋213</t>
  </si>
  <si>
    <t>20240307-20250308</t>
  </si>
  <si>
    <t>20240307-20240630</t>
  </si>
  <si>
    <t>深圳市前海深港合作区南山街道梦海大道5073号前海国际人才港1602</t>
  </si>
  <si>
    <t>91440300MAD9DFCU2G</t>
  </si>
  <si>
    <t>前海深港合作区南山街道梦海大道5073号前海国际人才港1602</t>
  </si>
  <si>
    <t>20240408-20240630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</si>
  <si>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4.根据《十二条措施》第五条的规定，拟扶持的金额为44488元。（计算方式为：按照上一年度实际产生场地租金的50%给予不超过30万元的场地租金补贴，每月每平方米补贴不超过60元）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</si>
  <si>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4.通过计算办公场地租赁合同、经营场地的租金支付发票、租金支付统计表等，本次拟扶持金额为：44488元。</t>
  </si>
  <si>
    <t>91440300MACPQA713B</t>
  </si>
  <si>
    <t>前海深港合作区南山街道前湾一路35号深港青年梦工场10栋213号流动卡位</t>
  </si>
  <si>
    <t>20230517-20250516</t>
  </si>
  <si>
    <t>20230517-20240630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</si>
  <si>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4.根据《十二条措施》第五条的规定，拟扶持的金额为6741元。（计算方式为：按照上一年度实际产生场地租金的50%给予不超过30万元的场地租金补贴，每月每平方米补贴不超过60元）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</si>
  <si>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4.通过计算办公场地租赁合同、经营场地的租金支付发票、租金支付统计表等，本次拟扶持金额为：6741元。</t>
  </si>
  <si>
    <t>深圳市前海深港合作区南山街道梦海大道5188号前海深港青年梦工场北区3栋201E、F、G</t>
  </si>
  <si>
    <t>91440300MA5HDU725D</t>
  </si>
  <si>
    <t>前海合作区前海青年梦工场北区3栋2层C栋201J，201K</t>
  </si>
  <si>
    <t>20231228-20240427</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</si>
  <si>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4.根据《十二条措施》第五条的规定，拟扶持的金额为56061元。（计算方式为：按照上一年度实际产生场地租金的50%给予不超过30万元的场地租金补贴，每月每平方米补贴不超过60元）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</si>
  <si>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4.通过计算办公场地租赁合同、经营场地的租金支付发票、租金支付统计表等，本次拟扶持金额为：56061元。</t>
  </si>
  <si>
    <t>前海合作区前海青年梦工场北区3栋2层C栋201E，201F,202G</t>
  </si>
  <si>
    <t>20240428-20250427</t>
  </si>
  <si>
    <t>20240428-20240627</t>
  </si>
  <si>
    <t>91440300MA5HLLDH5J</t>
  </si>
  <si>
    <t>前海深港合作区南山街道前湾一路35号青年梦工场6号楼217室共享办公区</t>
  </si>
  <si>
    <t>20221125-20231124</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</si>
  <si>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4.根据《十二条措施》第五条的规定，拟扶持的金额为10464元。（计算方式为：按照上一年度实际产生场地租金的50%给予不超过30万元的场地租金补贴，每月每平方米补贴不超过60元）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</si>
  <si>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4.通过计算办公场地租赁合同、经营场地的租金支付发票、租金支付统计表等，本次拟扶持金额为：10464元。</t>
  </si>
  <si>
    <t>前海深港合作区前湾一路35号青年梦工场6号楼205室共享办公区卡位</t>
  </si>
  <si>
    <t>20231125-20241124</t>
  </si>
  <si>
    <t>深圳市前海深港合作区南山街道梦海大道5188号前海深港青年梦工场北区4栋401EA</t>
  </si>
  <si>
    <t>91440300MA5HR6HW56</t>
  </si>
  <si>
    <t>前海深港合作区南山街道梦海大道5188号前海深港青年梦工场北区4栋401EA</t>
  </si>
  <si>
    <t>20230608-20250607</t>
  </si>
  <si>
    <t>20230608-20240630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</si>
  <si>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4.根据《十二条措施》第五条的规定，拟扶持的金额为7660元。（计算方式为：按照上一年度实际产生场地租金的50%给予不超过30万元的场地租金补贴，每月每平方米补贴不超过60元）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</si>
  <si>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4.通过计算办公场地租赁合同、经营场地的租金支付发票、租金支付统计表等，本次拟扶持金额为：7660元。</t>
  </si>
  <si>
    <t>深圳市前海深港合作区南山街道梦海大道5188号前海深港青年梦工场北区7栋203</t>
  </si>
  <si>
    <t>91440300MA5HXQF91U</t>
  </si>
  <si>
    <t>前海深港合作区南山街道梦海大道5188号前海深港青年梦工场北区7栋203H</t>
  </si>
  <si>
    <t>20230529-20231227</t>
  </si>
  <si>
    <t>20230601-20231227</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</si>
  <si>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4.根据《十二条措施》第五条的规定，拟扶持的金额为29121元。（计算方式为：按照上一年度实际产生场地租金的50%给予不超过30万元的场地租金补贴，每月每平方米补贴不超过60元）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</si>
  <si>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4.通过计算办公场地租赁合同、经营场地的租金支付发票、租金支付统计表等，本次拟扶持金额为：29121元。</t>
  </si>
  <si>
    <t>前海青年梦工场北区7栋203H</t>
  </si>
  <si>
    <t>20240111-20250110</t>
  </si>
  <si>
    <t>20240111-20240630</t>
  </si>
  <si>
    <t>深圳市前海深港合作区南山街道梦海大道5188号前海深港青年梦工场北区8栋301F8</t>
  </si>
  <si>
    <t>91440300MADAWYW867</t>
  </si>
  <si>
    <t>前海深港合作区南山街道梦海大道5188号前海深港青年梦工场北区8栋301F8</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</si>
  <si>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4.根据《十二条措施》第五条的规定，拟扶持的金额为2400元。（计算方式为：按照上一年度实际产生场地租金的50%给予不超过30万元的场地租金补贴，每月每平方米补贴不超过60元）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</si>
  <si>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4.通过计算办公场地租赁合同、经营场地的租金支付发票、租金支付统计表等，本次拟扶持金额为：2400元。</t>
  </si>
  <si>
    <t>深圳市前海深港合作区南山街道梦海大道5188号前海深港青年梦工场北区3栋201C5</t>
  </si>
  <si>
    <t>91440300MAD5QBAN9K</t>
  </si>
  <si>
    <t>前海深港合作区南山街道梦海大道5188号前海深港青年梦工场北区3栋201C5</t>
  </si>
  <si>
    <t>20231201-20241130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</si>
  <si>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4.根据《十二条措施》第五条的规定，拟扶持的金额为4200元。（计算方式为：按照上一年度实际产生场地租金的50%给予不超过30万元的场地租金补贴，每月每平方米补贴不超过60元）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</si>
  <si>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4.通过计算办公场地租赁合同、经营场地的租金支付发票、租金支付统计表等，本次拟扶持金额为：4200元。</t>
  </si>
  <si>
    <t>深圳市前海深港合作区南山街道梦海大道5188号前海深港青年梦工场北区3栋201C6</t>
  </si>
  <si>
    <t>91440300MAD5QB998D</t>
  </si>
  <si>
    <t>前海合作区前海深港青年梦工场北区3栋201C6</t>
  </si>
  <si>
    <t>深圳市前海深港合作区南山街道前湾一路35号深港青年梦工场10栋303</t>
  </si>
  <si>
    <t>91440300MA5H8TF185</t>
  </si>
  <si>
    <t>前海深港合作区南山街道前湾一路35号深港青年梦工场10栋303</t>
  </si>
  <si>
    <t>20221217-20241217</t>
  </si>
  <si>
    <t>91440300MAD72KLY4R</t>
  </si>
  <si>
    <t>前海深港合作区南山街道梦海大道5188号前海深港青年梦工场北区7栋203-8</t>
  </si>
  <si>
    <t>深圳市前海深港合作区南山街道梦海大道5188号前海深港青年梦工场北区4栋401BW</t>
  </si>
  <si>
    <t>91440300MA5HRFXBX4</t>
  </si>
  <si>
    <t>前海深港合作区南山街道梦海大道5188号前海深港青年梦工场北区4栋401</t>
  </si>
  <si>
    <t>20230904-20240630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</si>
  <si>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4.根据《十二条措施》第五条的规定，拟扶持的金额为29700元。（计算方式为：按照上一年度实际产生场地租金的50%给予不超过30万元的场地租金补贴，每月每平方米补贴不超过60元）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</si>
  <si>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4.通过计算办公场地租赁合同、经营场地的租金支付发票、租金支付统计表等，本次拟扶持金额为：29700元。</t>
  </si>
  <si>
    <t>深圳市前海深港合作区南山街道梦海大道5188号前海深港青年梦工场北区4栋401NA</t>
  </si>
  <si>
    <t>914403003597088000</t>
  </si>
  <si>
    <t>前海深港合作区南山街道梦海大道5188号前海深港青年梦工场北区3栋301室和4栋201、202、203、301、401、501</t>
  </si>
  <si>
    <t>20240201-20240430</t>
  </si>
  <si>
    <t>前海深港合作区南山街道梦海大道5188号前海深港青年梦工场北区4栋2楼办公室、4楼办公室</t>
  </si>
  <si>
    <t>20240501-20270109</t>
  </si>
  <si>
    <t>深圳市腾建工程管理有限公司</t>
  </si>
  <si>
    <t>深圳市前海深港合作区南山街道前湾一路35号深港青年梦工场10栋411</t>
  </si>
  <si>
    <t>91440300MA5H2BMG3C</t>
  </si>
  <si>
    <t>前海深港合作区南山街道前湾一路35号深港青年梦工场10栋406B卡座</t>
  </si>
  <si>
    <t>深圳市前海深港合作区南山街道梦海大道5188号前海深港青年梦工场北区3栋102</t>
  </si>
  <si>
    <t>91440300MA5HL8139M</t>
  </si>
  <si>
    <t>前海深港合作区南山街道梦海大道5188号前海深港青年梦工场北区3栋102</t>
  </si>
  <si>
    <t>20230101-20240630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</si>
  <si>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4.根据《十二条措施》第五条的规定，拟扶持的金额为508800元。（计算方式为：按照上一年度实际产生场地租金的50%给予不超过30万元的场地租金补贴，每月每平方米补贴不超过60元）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</si>
  <si>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4.通过计算办公场地租赁合同、经营场地的租金支付发票、租金支付统计表等，本次拟扶持金额为：508800元。</t>
  </si>
  <si>
    <t>深圳市前海深港合作区南山街道梦海大道5188号前海深港青年梦工场北区7栋203-11</t>
  </si>
  <si>
    <t>91440300MA5HEF850P</t>
  </si>
  <si>
    <t>前海深港合作区南山街道梦海大道5188号前海深港青年梦工场北区7栋203-11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</si>
  <si>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4.根据《十二条措施》第五条的规定，拟扶持的金额为15256元。（计算方式为：按照上一年度实际产生场地租金的50%给予不超过30万元的场地租金补贴，每月每平方米补贴不超过60元）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</si>
  <si>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4.通过计算办公场地租赁合同、经营场地的租金支付发票、租金支付统计表等，本次拟扶持金额为：15256元。</t>
  </si>
  <si>
    <t>深圳市前海深港合作区南山街道梦海大道5188号前海深港青年梦工场北区8栋302F5</t>
  </si>
  <si>
    <t>91440300MACRDT0704</t>
  </si>
  <si>
    <t>海深港合作区南山街道梦海大道5188号前海深港青年梦工场北区8栋302F5</t>
  </si>
  <si>
    <t>20230717-20240716</t>
  </si>
  <si>
    <t>20230717-20240630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</si>
  <si>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4.根据《十二条措施》第五条的规定，拟扶持的金额为10912元。（计算方式为：按照上一年度实际产生场地租金的50%给予不超过30万元的场地租金补贴，每月每平方米补贴不超过60元）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</si>
  <si>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4.通过计算办公场地租赁合同、经营场地的租金支付发票、租金支付统计表等，本次拟扶持金额为：10912元。</t>
  </si>
  <si>
    <t>海深港合作区南山街道梦海大道5188号前海深港青年梦工场北区8栋302J</t>
  </si>
  <si>
    <t>深圳市前海深港合作区南山街道港城街99号深国际前海颐都大厦塔楼501-26</t>
  </si>
  <si>
    <t>91440300MACRR1RU0Y</t>
  </si>
  <si>
    <t>深国际颐都大厦5楼深国际前海图钉Camp35、37号工位</t>
  </si>
  <si>
    <t>20230808-20240207</t>
  </si>
  <si>
    <t>已领取市人社局2023年11月-2024年1月创业场租补贴</t>
  </si>
  <si>
    <t>20230808-20231031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</si>
  <si>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4.根据《十二条措施》第五条的规定，拟扶持的金额为1809元。（计算方式为：按照上一年度实际产生场地租金的50%给予不超过30万元的场地租金补贴，每月每平方米补贴不超过60元）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</si>
  <si>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4.通过计算办公场地租赁合同、经营场地的租金支付发票、租金支付统计表等，本次拟扶持金额为：1809元。</t>
  </si>
  <si>
    <t>20240201-20240207</t>
  </si>
  <si>
    <t>深圳市宝安区西乡街道劳动社区宝源路1065号F518时尚创意园F12栋101</t>
  </si>
  <si>
    <t>91440300MA5FU9884B</t>
  </si>
  <si>
    <t>深圳市宝安区西乡街道宝源路1065号F518时尚创意园F3栋101.102.119.120</t>
  </si>
  <si>
    <t>20220501-20240131</t>
  </si>
  <si>
    <t>已领取2022年度《深圳市文化广电旅游体育局文化产业发展专项资金扶持计划操作规程》第十条办公用房租金补贴</t>
  </si>
  <si>
    <t>20230101-20240131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</si>
  <si>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4.根据《十二条措施》第五条的规定，拟扶持的金额为140,647.00元。（计算方式为：按照上一年度实际产生场地租金的50%给予不超过30万元的场地租金补贴，每月每平方米补贴不超过60元）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</si>
  <si>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4.通过计算办公场地租赁合同、经营场地的租金支付发票、租金支付统计表等，本次拟扶持金额为：140647元。</t>
  </si>
  <si>
    <t>合计</t>
  </si>
  <si>
    <t>审核人（不少于两人）：</t>
  </si>
  <si>
    <t>责任领导：</t>
  </si>
  <si>
    <t>处室负责人：</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</si>
  <si>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4.根据《十二条措施》第五条的规定，拟扶持的金额为120991元。（计算方式为：按照上一年度实际产生场地租金的50%给予不超过30万元的场地租金补贴，每月每平方米补贴不超过60元）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</si>
  <si>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4.通过计算办公场地租赁合同、经营场地的租金支付发票、租金支付统计表等，本次拟扶持金额为：120991元。</t>
  </si>
  <si>
    <t>港澳处、律所、会所三方审核结论一致，符合给予租金补贴120991元条件。</t>
  </si>
  <si>
    <t>20230910-20240909</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</si>
  <si>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4.根据《十二条措施》第五条的规定，拟扶持的金额为86624元。（计算方式为：按照上一年度实际产生场地租金的50%给予不超过30万元的场地租金补贴，每月每平方米补贴不超过60元）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</si>
  <si>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4.通过计算办公场地租赁合同、经营场地的租金支付发票、租金支付统计表等，本次拟扶持金额为：86624元。</t>
  </si>
  <si>
    <t>深圳臻德润医药有限公司</t>
  </si>
  <si>
    <t>深圳市前海深港合作区南山街道梦海大道5073号前海国际人才港1206</t>
  </si>
  <si>
    <t>91440300MAD0172M86</t>
  </si>
  <si>
    <t>深圳市南山区梦海大道5073号华海金融中心b栋前海国际人才港第12层1206室</t>
  </si>
  <si>
    <t>20230829-20250828</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</si>
  <si>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4.根据《十二条措施》第五条的规定，拟扶持的金额为61067元。（计算方式为：按照上一年度实际产生场地租金的50%给予不超过30万元的场地租金补贴，每月每平方米补贴不超过60元）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</si>
  <si>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4.通过计算办公场地租赁合同、经营场地的租金支付发票、租金支付统计表等，本次拟扶持金额为：61067元。</t>
  </si>
  <si>
    <t>港澳处、律所、会所三方审核结论一致，符合给予租金补贴61067元条件。</t>
  </si>
  <si>
    <t>深圳市前海深港合作区南山街道梦海大道5073号前海国际人才港1202</t>
  </si>
  <si>
    <t>20231120-20260709</t>
  </si>
  <si>
    <t>20231120-20240630</t>
  </si>
  <si>
    <t>铭津资讯科技（深圳）有限公司</t>
  </si>
  <si>
    <t>深圳市前海深港合作区南山街道梦海大道5073号前海国际人才港1203</t>
  </si>
  <si>
    <t>91440300MAD7XW0L66</t>
  </si>
  <si>
    <t>深圳市南山区梦海大道5073号华海金融中心b栋前海国际人才港第12层1212室</t>
  </si>
  <si>
    <t>20231214-20241213</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</si>
  <si>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4.根据《十二条措施》第五条的规定，拟扶持的金额为45766元。（计算方式为：按照上一年度实际产生场地租金的50%给予不超过30万元的场地租金补贴，每月每平方米补贴不超过60元）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</si>
  <si>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4.通过计算办公场地租赁合同、经营场地的租金支付发票、租金支付统计表等，本次拟扶持金额为：45766元。</t>
  </si>
  <si>
    <t>港澳处、律所、会所三方审核结论一致，符合给予租金补贴45766元条件。</t>
  </si>
  <si>
    <t>深圳市壹电能碳技术有限公司</t>
  </si>
  <si>
    <t>深圳市前海深港合作区南山街道梦海大道5073号前海国际人才港1205</t>
  </si>
  <si>
    <t>91440300MAD4R61F74</t>
  </si>
  <si>
    <t>广东省深圳市南山区梦海大道5073号华海金融中心b栋前海国际人才港第12层1205室</t>
  </si>
  <si>
    <t>20231116-20260709</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</si>
  <si>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4.根据《十二条措施》第五条的规定，拟扶持的金额为172364元。（计算方式为：按照上一年度实际产生场地租金的50%给予不超过30万元的场地租金补贴，每月每平方米补贴不超过60元）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</si>
  <si>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4.通过计算办公场地租赁合同、经营场地的租金支付发票、租金支付统计表等，本次拟扶持金额为：172364元。</t>
  </si>
  <si>
    <t>港澳处、律所、会所三方审核结论一致，符合给予租金补贴172364元条件。</t>
  </si>
  <si>
    <t>广东省深圳市南山区梦海大道5073号华海金融中心b栋前海国际人才港第12层1209室</t>
  </si>
  <si>
    <t>20231201-20260709</t>
  </si>
  <si>
    <t>20231216-20231231</t>
  </si>
  <si>
    <t>深圳扫未来资讯科技有限公司</t>
  </si>
  <si>
    <t>深圳市前海深港合作区南山街道梦海大道5188号前海深港青年梦工场北区8栋301F6</t>
  </si>
  <si>
    <t>91440300MA5HN84209</t>
  </si>
  <si>
    <t>深圳市前海合作区前海青年梦工场北区8栋3层（301F6）</t>
  </si>
  <si>
    <t>20221209-20231208</t>
  </si>
  <si>
    <t>20230601-20230831</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</si>
  <si>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4.根据《十二条措施》第五条的规定，拟扶持的金额为73440元。（计算方式为：按照上一年度实际产生场地租金的50%给予不超过30万元的场地租金补贴，每月每平方米补贴不超过60元）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</si>
  <si>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4.通过计算办公场地租赁合同、经营场地的租金支付发票、租金支付统计表等，本次拟扶持金额为：73440元。</t>
  </si>
  <si>
    <t>港澳处、律所、会所三方审核结论一致，符合给予租金补贴73440元条件。</t>
  </si>
  <si>
    <t>深圳市前海合作区前海青年梦工场北区8栋3层（301D、LBR01、CR02）</t>
  </si>
  <si>
    <t>20231101-20241030</t>
  </si>
  <si>
    <t>深圳市联网广告技术有限公司</t>
  </si>
  <si>
    <t>91440300MAD3QP9W20</t>
  </si>
  <si>
    <t>南山区梦海大道5073号华海金融中心b栋前海国际人才港第12层1213室</t>
  </si>
  <si>
    <t>20231017-20251016</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</si>
  <si>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4.根据《十二条措施》第五条的规定，拟扶持的金额为115680元。（计算方式为：按照上一年度实际产生场地租金的50%给予不超过30万元的场地租金补贴，每月每平方米补贴不超过60元）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</si>
  <si>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4.通过计算办公场地租赁合同、经营场地的租金支付发票、租金支付统计表等，本次拟扶持金额为：115680元。</t>
  </si>
  <si>
    <t>智算节点科技（深圳）有限公司</t>
  </si>
  <si>
    <t>91440300MA5HPEQE6W</t>
  </si>
  <si>
    <t>南山区梦海大道5073号华海金融中心b栋前海国际人才港第12层1210、1211室</t>
  </si>
  <si>
    <t>20231109-20251108</t>
  </si>
  <si>
    <t>20231124-20240630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</si>
  <si>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4.根据《十二条措施》第五条的规定，拟扶持的金额为138398元。（计算方式为：按照上一年度实际产生场地租金的50%给予不超过30万元的场地租金补贴，每月每平方米补贴不超过60元）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</si>
  <si>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4.通过计算办公场地租赁合同、经营场地的租金支付发票、租金支付统计表等，本次拟扶持金额为：138398元。</t>
  </si>
  <si>
    <t>深圳必盛未来科技有限公司</t>
  </si>
  <si>
    <t>深圳市前海深港合作区南山街道梦海大道5073号华海金融中心b栋前海国际人才港1206</t>
  </si>
  <si>
    <t>91440300MACYYL2D1X</t>
  </si>
  <si>
    <t>前海深港合作区南山街道梦海大道5073号前海国际人才港1207</t>
  </si>
  <si>
    <t>20230910-20230930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</si>
  <si>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4.根据《十二条措施》第五条的规定，拟扶持的金额为60643元。（计算方式为：按照上一年度实际产生场地租金的50%给予不超过30万元的场地租金补贴，每月每平方米补贴不超过60元）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</si>
  <si>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4.通过计算办公场地租赁合同、经营场地的租金支付发票、租金支付统计表等，本次拟扶持金额为：60643元。</t>
  </si>
  <si>
    <t>20240120-20240630</t>
  </si>
  <si>
    <t>瑆源（深圳）设计有限公司</t>
  </si>
  <si>
    <t>91440300MACWPQXF8G</t>
  </si>
  <si>
    <t>前海深港合作区南山街道梦海大道5073号华海金融中心b栋前海国际人才港1208室</t>
  </si>
  <si>
    <t>20230820-20260709</t>
  </si>
  <si>
    <t>20231130-20240630</t>
  </si>
  <si>
    <t>1.截至2024年6月30日，申请主体在前海有固定经营场所并合法、实质性经营，注册或迁入时间5年以内。（注：根据《关于统一规范前海产业政策中“实际经营”有关要求的通知》，港澳青创企业对社保缴纳人数、账务不作要求。）
2.港澳青年合计持股或以境外企业持股折算后，持股比例25%以上；
3.持股股东连续在该企业缴纳社保至申请时，符合港澳青创企业的主体资格，且不存在不得资助的情形。
4.根据《十二条措施》第五条的规定，拟扶持的金额为61780元。（计算方式为：按照上一年度实际产生场地租金的50%给予不超过30万元的场地租金补贴，每月每平方米补贴不超过60元）</t>
  </si>
  <si>
    <t>1.通过营业执照、企业信息查询、社保缴纳证明、创业载体备案证明等，核实申报单位申请时在前海合作区成立或者迁入5年内，有固定经营场所并合法、实质性经营，核实申报单位所在创业载体经人社、工信、科技、文体等部门认定或者备案。
2.通过企业信息查询、提交股权结构证明等，核实申报单位的港澳青年合计持股比例达到25%登记股权或者股份，股东为境外企业的，港澳青年在境外企业中持有的登记股权或者股份经折算后不低于该企业登记股权或者股份的25%。
3.通过股东申报材料（永久居民身份证正反面扫描件、港澳台居民往来内地通行证正反面扫描件、参保证明等）核实持有股权或者股份的港澳青年在该企业连续缴纳社保时间不少于6个月，申请时社保关系在前海合作区。
4.通过计算办公场地租赁合同、经营场地的租金支付发票、租金支付统计表等，本次拟扶持金额为：61780元。</t>
  </si>
  <si>
    <t>20230808-20231030</t>
  </si>
</sst>
</file>

<file path=xl/styles.xml><?xml version="1.0" encoding="utf-8"?>
<styleSheet xmlns="http://schemas.openxmlformats.org/spreadsheetml/2006/main">
  <numFmts count="7">
    <numFmt numFmtId="43" formatCode="_ * #,##0.00_ ;_ * \-#,##0.00_ ;_ * &quot;-&quot;??_ ;_ @_ "/>
    <numFmt numFmtId="42" formatCode="_ &quot;￥&quot;* #,##0_ ;_ &quot;￥&quot;* \-#,##0_ ;_ &quot;￥&quot;* &quot;-&quot;_ ;_ @_ "/>
    <numFmt numFmtId="44" formatCode="_ &quot;￥&quot;* #,##0.00_ ;_ &quot;￥&quot;* \-#,##0.00_ ;_ &quot;￥&quot;* &quot;-&quot;??_ ;_ @_ "/>
    <numFmt numFmtId="176" formatCode="0_ "/>
    <numFmt numFmtId="41" formatCode="_ * #,##0_ ;_ * \-#,##0_ ;_ * &quot;-&quot;_ ;_ @_ "/>
    <numFmt numFmtId="177" formatCode="0.00_ "/>
    <numFmt numFmtId="178" formatCode="0.00_);[Red]\(0.00\)"/>
  </numFmts>
  <fonts count="32">
    <font>
      <sz val="11"/>
      <color theme="1"/>
      <name val="等线"/>
      <charset val="134"/>
      <scheme val="minor"/>
    </font>
    <font>
      <sz val="11"/>
      <color theme="1"/>
      <name val="方正小标宋简体"/>
      <charset val="134"/>
    </font>
    <font>
      <sz val="11"/>
      <name val="Calibri"/>
      <charset val="134"/>
    </font>
    <font>
      <sz val="11"/>
      <name val="等线"/>
      <charset val="134"/>
      <scheme val="minor"/>
    </font>
    <font>
      <sz val="24"/>
      <color theme="1"/>
      <name val="方正小标宋简体"/>
      <charset val="134"/>
    </font>
    <font>
      <sz val="14"/>
      <name val="黑体"/>
      <charset val="134"/>
    </font>
    <font>
      <sz val="14"/>
      <name val="仿宋_GB2312"/>
      <charset val="134"/>
    </font>
    <font>
      <sz val="14"/>
      <color indexed="8"/>
      <name val="仿宋_GB2312"/>
      <charset val="134"/>
    </font>
    <font>
      <sz val="14"/>
      <color theme="1"/>
      <name val="仿宋_GB2312"/>
      <charset val="134"/>
    </font>
    <font>
      <sz val="14"/>
      <color theme="1"/>
      <name val="等线"/>
      <charset val="134"/>
    </font>
    <font>
      <sz val="20"/>
      <name val="黑体"/>
      <charset val="134"/>
    </font>
    <font>
      <sz val="20"/>
      <name val="仿宋_GB2312"/>
      <charset val="134"/>
    </font>
    <font>
      <sz val="20"/>
      <color theme="1"/>
      <name val="仿宋_GB2312"/>
      <charset val="134"/>
    </font>
    <font>
      <sz val="11"/>
      <color theme="1"/>
      <name val="等线"/>
      <charset val="0"/>
      <scheme val="minor"/>
    </font>
    <font>
      <sz val="11"/>
      <color theme="0"/>
      <name val="等线"/>
      <charset val="0"/>
      <scheme val="minor"/>
    </font>
    <font>
      <sz val="11"/>
      <color rgb="FF9C6500"/>
      <name val="等线"/>
      <charset val="0"/>
      <scheme val="minor"/>
    </font>
    <font>
      <sz val="11"/>
      <color rgb="FFFF0000"/>
      <name val="等线"/>
      <charset val="0"/>
      <scheme val="minor"/>
    </font>
    <font>
      <sz val="11"/>
      <color rgb="FF9C0006"/>
      <name val="等线"/>
      <charset val="0"/>
      <scheme val="minor"/>
    </font>
    <font>
      <b/>
      <sz val="11"/>
      <color theme="1"/>
      <name val="等线"/>
      <charset val="0"/>
      <scheme val="minor"/>
    </font>
    <font>
      <sz val="11"/>
      <color rgb="FFFA7D00"/>
      <name val="等线"/>
      <charset val="0"/>
      <scheme val="minor"/>
    </font>
    <font>
      <b/>
      <sz val="13"/>
      <color theme="3"/>
      <name val="等线"/>
      <charset val="134"/>
      <scheme val="minor"/>
    </font>
    <font>
      <sz val="11"/>
      <color rgb="FF006100"/>
      <name val="等线"/>
      <charset val="0"/>
      <scheme val="minor"/>
    </font>
    <font>
      <b/>
      <sz val="11"/>
      <color rgb="FFFFFFFF"/>
      <name val="等线"/>
      <charset val="0"/>
      <scheme val="minor"/>
    </font>
    <font>
      <b/>
      <sz val="11"/>
      <color theme="3"/>
      <name val="等线"/>
      <charset val="134"/>
      <scheme val="minor"/>
    </font>
    <font>
      <b/>
      <sz val="18"/>
      <color theme="3"/>
      <name val="等线"/>
      <charset val="134"/>
      <scheme val="minor"/>
    </font>
    <font>
      <u/>
      <sz val="11"/>
      <color rgb="FF800080"/>
      <name val="等线"/>
      <charset val="0"/>
      <scheme val="minor"/>
    </font>
    <font>
      <b/>
      <sz val="15"/>
      <color theme="3"/>
      <name val="等线"/>
      <charset val="134"/>
      <scheme val="minor"/>
    </font>
    <font>
      <sz val="11"/>
      <color rgb="FF3F3F76"/>
      <name val="等线"/>
      <charset val="0"/>
      <scheme val="minor"/>
    </font>
    <font>
      <u/>
      <sz val="11"/>
      <color rgb="FF0000FF"/>
      <name val="等线"/>
      <charset val="0"/>
      <scheme val="minor"/>
    </font>
    <font>
      <b/>
      <sz val="11"/>
      <color rgb="FF3F3F3F"/>
      <name val="等线"/>
      <charset val="0"/>
      <scheme val="minor"/>
    </font>
    <font>
      <i/>
      <sz val="11"/>
      <color rgb="FF7F7F7F"/>
      <name val="等线"/>
      <charset val="0"/>
      <scheme val="minor"/>
    </font>
    <font>
      <b/>
      <sz val="11"/>
      <color rgb="FFFA7D00"/>
      <name val="等线"/>
      <charset val="0"/>
      <scheme val="minor"/>
    </font>
  </fonts>
  <fills count="35">
    <fill>
      <patternFill patternType="none"/>
    </fill>
    <fill>
      <patternFill patternType="gray125"/>
    </fill>
    <fill>
      <patternFill patternType="solid">
        <fgColor rgb="FF92D050"/>
        <bgColor indexed="64"/>
      </patternFill>
    </fill>
    <fill>
      <patternFill patternType="solid">
        <fgColor rgb="FF7030A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7"/>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0" fontId="14" fillId="27" borderId="0" applyNumberFormat="0" applyBorder="0" applyAlignment="0" applyProtection="0">
      <alignment vertical="center"/>
    </xf>
    <xf numFmtId="0" fontId="13" fillId="23" borderId="0" applyNumberFormat="0" applyBorder="0" applyAlignment="0" applyProtection="0">
      <alignment vertical="center"/>
    </xf>
    <xf numFmtId="0" fontId="13" fillId="20" borderId="0" applyNumberFormat="0" applyBorder="0" applyAlignment="0" applyProtection="0">
      <alignment vertical="center"/>
    </xf>
    <xf numFmtId="0" fontId="14" fillId="16" borderId="0" applyNumberFormat="0" applyBorder="0" applyAlignment="0" applyProtection="0">
      <alignment vertical="center"/>
    </xf>
    <xf numFmtId="0" fontId="14" fillId="25" borderId="0" applyNumberFormat="0" applyBorder="0" applyAlignment="0" applyProtection="0">
      <alignment vertical="center"/>
    </xf>
    <xf numFmtId="0" fontId="13" fillId="22" borderId="0" applyNumberFormat="0" applyBorder="0" applyAlignment="0" applyProtection="0">
      <alignment vertical="center"/>
    </xf>
    <xf numFmtId="0" fontId="14" fillId="26" borderId="0" applyNumberFormat="0" applyBorder="0" applyAlignment="0" applyProtection="0">
      <alignment vertical="center"/>
    </xf>
    <xf numFmtId="0" fontId="14" fillId="28" borderId="0" applyNumberFormat="0" applyBorder="0" applyAlignment="0" applyProtection="0">
      <alignment vertical="center"/>
    </xf>
    <xf numFmtId="0" fontId="14" fillId="21" borderId="0" applyNumberFormat="0" applyBorder="0" applyAlignment="0" applyProtection="0">
      <alignment vertical="center"/>
    </xf>
    <xf numFmtId="0" fontId="13" fillId="24" borderId="0" applyNumberFormat="0" applyBorder="0" applyAlignment="0" applyProtection="0">
      <alignment vertical="center"/>
    </xf>
    <xf numFmtId="0" fontId="13" fillId="18" borderId="0" applyNumberFormat="0" applyBorder="0" applyAlignment="0" applyProtection="0">
      <alignment vertical="center"/>
    </xf>
    <xf numFmtId="0" fontId="13" fillId="15"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17" borderId="9" applyNumberFormat="0" applyAlignment="0" applyProtection="0">
      <alignment vertical="center"/>
    </xf>
    <xf numFmtId="0" fontId="26" fillId="0" borderId="7" applyNumberFormat="0" applyFill="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32" borderId="11" applyNumberFormat="0" applyAlignment="0" applyProtection="0">
      <alignment vertical="center"/>
    </xf>
    <xf numFmtId="0" fontId="13" fillId="31" borderId="0" applyNumberFormat="0" applyBorder="0" applyAlignment="0" applyProtection="0">
      <alignment vertical="center"/>
    </xf>
    <xf numFmtId="0" fontId="13" fillId="34" borderId="0" applyNumberFormat="0" applyBorder="0" applyAlignment="0" applyProtection="0">
      <alignment vertical="center"/>
    </xf>
    <xf numFmtId="42" fontId="0" fillId="0" borderId="0" applyFont="0" applyFill="0" applyBorder="0" applyAlignment="0" applyProtection="0">
      <alignment vertical="center"/>
    </xf>
    <xf numFmtId="0" fontId="23"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32" borderId="10" applyNumberFormat="0" applyAlignment="0" applyProtection="0">
      <alignment vertical="center"/>
    </xf>
    <xf numFmtId="0" fontId="14" fillId="33" borderId="0" applyNumberFormat="0" applyBorder="0" applyAlignment="0" applyProtection="0">
      <alignment vertical="center"/>
    </xf>
    <xf numFmtId="41" fontId="0" fillId="0" borderId="0" applyFont="0" applyFill="0" applyBorder="0" applyAlignment="0" applyProtection="0">
      <alignment vertical="center"/>
    </xf>
    <xf numFmtId="0" fontId="14" fillId="19" borderId="0" applyNumberFormat="0" applyBorder="0" applyAlignment="0" applyProtection="0">
      <alignment vertical="center"/>
    </xf>
    <xf numFmtId="0" fontId="0" fillId="14" borderId="8" applyNumberFormat="0" applyFont="0" applyAlignment="0" applyProtection="0">
      <alignment vertical="center"/>
    </xf>
    <xf numFmtId="0" fontId="21" fillId="13"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0" fillId="0" borderId="7" applyNumberFormat="0" applyFill="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6" applyNumberFormat="0" applyFill="0" applyAlignment="0" applyProtection="0">
      <alignment vertical="center"/>
    </xf>
    <xf numFmtId="0" fontId="13" fillId="12" borderId="0" applyNumberFormat="0" applyBorder="0" applyAlignment="0" applyProtection="0">
      <alignment vertical="center"/>
    </xf>
    <xf numFmtId="0" fontId="13" fillId="11" borderId="0" applyNumberFormat="0" applyBorder="0" applyAlignment="0" applyProtection="0">
      <alignment vertical="center"/>
    </xf>
    <xf numFmtId="0" fontId="14" fillId="10" borderId="0" applyNumberFormat="0" applyBorder="0" applyAlignment="0" applyProtection="0">
      <alignment vertical="center"/>
    </xf>
    <xf numFmtId="0" fontId="18" fillId="0" borderId="5" applyNumberFormat="0" applyFill="0" applyAlignment="0" applyProtection="0">
      <alignment vertical="center"/>
    </xf>
    <xf numFmtId="0" fontId="14" fillId="9" borderId="0" applyNumberFormat="0" applyBorder="0" applyAlignment="0" applyProtection="0">
      <alignment vertical="center"/>
    </xf>
    <xf numFmtId="0" fontId="17" fillId="8" borderId="0" applyNumberFormat="0" applyBorder="0" applyAlignment="0" applyProtection="0">
      <alignment vertical="center"/>
    </xf>
    <xf numFmtId="0" fontId="13" fillId="29" borderId="0" applyNumberFormat="0" applyBorder="0" applyAlignment="0" applyProtection="0">
      <alignment vertical="center"/>
    </xf>
    <xf numFmtId="0" fontId="16" fillId="0" borderId="0" applyNumberFormat="0" applyFill="0" applyBorder="0" applyAlignment="0" applyProtection="0">
      <alignment vertical="center"/>
    </xf>
    <xf numFmtId="0" fontId="15" fillId="7"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3" fillId="4" borderId="0" applyNumberFormat="0" applyBorder="0" applyAlignment="0" applyProtection="0">
      <alignment vertical="center"/>
    </xf>
  </cellStyleXfs>
  <cellXfs count="85">
    <xf numFmtId="0" fontId="0" fillId="0" borderId="0" xfId="0"/>
    <xf numFmtId="0" fontId="1" fillId="0" borderId="0" xfId="0" applyFont="1" applyFill="1" applyAlignment="1">
      <alignment vertical="center"/>
    </xf>
    <xf numFmtId="0" fontId="2" fillId="0" borderId="0" xfId="0" applyFont="1" applyFill="1"/>
    <xf numFmtId="0" fontId="3" fillId="0" borderId="0" xfId="0" applyFont="1" applyFill="1"/>
    <xf numFmtId="0" fontId="0" fillId="0" borderId="0" xfId="0" applyFill="1"/>
    <xf numFmtId="0" fontId="3" fillId="0" borderId="0" xfId="0" applyFont="1" applyFill="1" applyAlignment="1">
      <alignment horizontal="center"/>
    </xf>
    <xf numFmtId="177" fontId="3" fillId="0" borderId="0" xfId="0" applyNumberFormat="1" applyFont="1" applyFill="1" applyAlignment="1">
      <alignment horizontal="center"/>
    </xf>
    <xf numFmtId="0" fontId="3" fillId="0" borderId="0" xfId="0" applyFont="1" applyFill="1" applyAlignment="1">
      <alignment horizontal="left" wrapText="1"/>
    </xf>
    <xf numFmtId="0" fontId="3" fillId="0" borderId="0" xfId="0" applyFont="1" applyFill="1" applyAlignment="1">
      <alignment horizontal="left"/>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4" fontId="8" fillId="0" borderId="2" xfId="0" applyNumberFormat="1" applyFont="1" applyFill="1" applyBorder="1" applyAlignment="1">
      <alignment horizontal="center" vertical="center" wrapText="1"/>
    </xf>
    <xf numFmtId="4" fontId="8" fillId="0" borderId="3" xfId="0" applyNumberFormat="1" applyFont="1" applyFill="1" applyBorder="1" applyAlignment="1">
      <alignment horizontal="center" vertical="center" wrapText="1"/>
    </xf>
    <xf numFmtId="4" fontId="8" fillId="0" borderId="4" xfId="0" applyNumberFormat="1" applyFont="1" applyFill="1" applyBorder="1" applyAlignment="1">
      <alignment horizontal="center" vertical="center" wrapText="1"/>
    </xf>
    <xf numFmtId="43" fontId="8" fillId="0" borderId="1" xfId="32" applyFont="1" applyFill="1" applyBorder="1" applyAlignment="1">
      <alignment horizontal="center" vertical="center" wrapText="1"/>
    </xf>
    <xf numFmtId="177" fontId="8" fillId="0" borderId="1" xfId="32" applyNumberFormat="1" applyFont="1" applyFill="1" applyBorder="1" applyAlignment="1">
      <alignment horizontal="center" vertical="center"/>
    </xf>
    <xf numFmtId="177" fontId="8" fillId="0" borderId="1" xfId="32" applyNumberFormat="1" applyFont="1" applyFill="1" applyBorder="1" applyAlignment="1">
      <alignment horizontal="center" vertical="center" wrapText="1"/>
    </xf>
    <xf numFmtId="177" fontId="6" fillId="0" borderId="1" xfId="32" applyNumberFormat="1" applyFont="1" applyFill="1" applyBorder="1" applyAlignment="1">
      <alignment horizontal="center" vertical="center"/>
    </xf>
    <xf numFmtId="0" fontId="4"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4" fontId="9"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6" fillId="0" borderId="0" xfId="0" applyFont="1" applyFill="1" applyAlignment="1">
      <alignment horizontal="left" vertical="center" wrapText="1"/>
    </xf>
    <xf numFmtId="0" fontId="0" fillId="0" borderId="0" xfId="0" applyFill="1" applyAlignment="1">
      <alignment horizontal="center" vertical="center" wrapText="1"/>
    </xf>
    <xf numFmtId="0" fontId="6" fillId="0" borderId="0" xfId="0" applyFont="1" applyFill="1" applyAlignment="1">
      <alignment horizontal="center" vertical="center" wrapText="1"/>
    </xf>
    <xf numFmtId="177" fontId="6" fillId="0" borderId="2" xfId="0" applyNumberFormat="1" applyFont="1" applyFill="1" applyBorder="1" applyAlignment="1">
      <alignment horizontal="center" vertical="center"/>
    </xf>
    <xf numFmtId="177" fontId="6" fillId="0" borderId="3" xfId="0" applyNumberFormat="1" applyFont="1" applyFill="1" applyBorder="1" applyAlignment="1">
      <alignment horizontal="center" vertical="center"/>
    </xf>
    <xf numFmtId="49" fontId="0" fillId="0" borderId="0" xfId="0" applyNumberFormat="1" applyFill="1" applyAlignment="1">
      <alignment horizontal="center" vertical="center" wrapText="1"/>
    </xf>
    <xf numFmtId="176" fontId="6"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176" fontId="6" fillId="0" borderId="3" xfId="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176" fontId="0" fillId="0" borderId="0" xfId="0" applyNumberFormat="1" applyFill="1" applyAlignment="1">
      <alignment horizontal="center" vertical="center" wrapText="1"/>
    </xf>
    <xf numFmtId="0" fontId="0" fillId="0" borderId="0" xfId="0" applyFill="1" applyAlignment="1">
      <alignment horizontal="left" wrapText="1"/>
    </xf>
    <xf numFmtId="0" fontId="0" fillId="0" borderId="0" xfId="0" applyFill="1" applyAlignment="1">
      <alignment wrapText="1"/>
    </xf>
    <xf numFmtId="0" fontId="0" fillId="0" borderId="0" xfId="0" applyFill="1" applyAlignment="1">
      <alignment horizontal="center"/>
    </xf>
    <xf numFmtId="177" fontId="8" fillId="2" borderId="1" xfId="32" applyNumberFormat="1" applyFont="1" applyFill="1" applyBorder="1" applyAlignment="1">
      <alignment horizontal="center" vertical="center"/>
    </xf>
    <xf numFmtId="177" fontId="8" fillId="2" borderId="1" xfId="32" applyNumberFormat="1" applyFont="1" applyFill="1" applyBorder="1" applyAlignment="1">
      <alignment horizontal="center" vertical="center" wrapText="1"/>
    </xf>
    <xf numFmtId="177" fontId="6" fillId="2" borderId="1" xfId="32" applyNumberFormat="1" applyFont="1" applyFill="1" applyBorder="1" applyAlignment="1">
      <alignment horizontal="center" vertical="center"/>
    </xf>
    <xf numFmtId="176" fontId="6" fillId="2" borderId="1" xfId="0" applyNumberFormat="1" applyFont="1" applyFill="1" applyBorder="1" applyAlignment="1">
      <alignment horizontal="center" vertical="center" wrapText="1"/>
    </xf>
    <xf numFmtId="176" fontId="6" fillId="3" borderId="1" xfId="0" applyNumberFormat="1" applyFont="1" applyFill="1" applyBorder="1" applyAlignment="1">
      <alignment horizontal="center" vertical="center" wrapText="1"/>
    </xf>
    <xf numFmtId="177" fontId="8" fillId="3" borderId="1" xfId="32" applyNumberFormat="1" applyFont="1" applyFill="1" applyBorder="1" applyAlignment="1">
      <alignment vertical="center"/>
    </xf>
    <xf numFmtId="177" fontId="6" fillId="2" borderId="1" xfId="0" applyNumberFormat="1" applyFont="1" applyFill="1" applyBorder="1" applyAlignment="1">
      <alignment horizontal="center" vertical="center"/>
    </xf>
    <xf numFmtId="177" fontId="6" fillId="2" borderId="1" xfId="0" applyNumberFormat="1" applyFont="1" applyFill="1" applyBorder="1" applyAlignment="1">
      <alignment horizontal="center" vertical="center" wrapText="1"/>
    </xf>
    <xf numFmtId="177"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177" fontId="6" fillId="3" borderId="1" xfId="0" applyNumberFormat="1"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177" fontId="6" fillId="3" borderId="2" xfId="0" applyNumberFormat="1" applyFont="1" applyFill="1" applyBorder="1" applyAlignment="1">
      <alignment vertical="center"/>
    </xf>
    <xf numFmtId="176" fontId="6" fillId="2" borderId="2" xfId="0" applyNumberFormat="1" applyFont="1" applyFill="1" applyBorder="1" applyAlignment="1">
      <alignment horizontal="center" vertical="center" wrapText="1"/>
    </xf>
    <xf numFmtId="176" fontId="6" fillId="2" borderId="3" xfId="0" applyNumberFormat="1" applyFont="1" applyFill="1" applyBorder="1" applyAlignment="1">
      <alignment horizontal="center" vertical="center" wrapText="1"/>
    </xf>
    <xf numFmtId="178" fontId="2" fillId="0" borderId="0" xfId="0" applyNumberFormat="1" applyFont="1" applyFill="1"/>
    <xf numFmtId="0" fontId="2" fillId="3" borderId="0" xfId="0" applyFont="1" applyFill="1"/>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177" fontId="3" fillId="0" borderId="0" xfId="0" applyNumberFormat="1" applyFont="1" applyFill="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0" fillId="0" borderId="0" xfId="0" applyFill="1" applyAlignment="1">
      <alignment horizontal="center" vertical="center"/>
    </xf>
    <xf numFmtId="0" fontId="6" fillId="0" borderId="1" xfId="0" applyFont="1" applyFill="1" applyBorder="1" applyAlignment="1" quotePrefix="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2">
    <dxf>
      <fill>
        <patternFill patternType="solid">
          <bgColor rgb="FFFF9900"/>
        </patternFill>
      </fill>
    </dxf>
    <dxf>
      <border>
        <left style="thin">
          <color auto="1"/>
        </left>
        <right style="thin">
          <color auto="1"/>
        </right>
        <top style="thin">
          <color auto="1"/>
        </top>
        <bottom style="thin">
          <color auto="1"/>
        </bottom>
      </border>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1" Type="http://schemas.openxmlformats.org/officeDocument/2006/relationships/image" Target="../media/image1.png"/></Relationships>
</file>

<file path=xl/worksheets/_rels/sheet3.xml.rels><?xml version="1.0" encoding="UTF-8" standalone="yes"?>
<Relationships xmlns="http://schemas.openxmlformats.org/package/2006/relationships"><Relationship Id="rId1" Type="http://schemas.openxmlformats.org/officeDocument/2006/relationships/image" Target="../media/image1.png"/></Relationships>
</file>

<file path=xl/worksheets/_rels/sheet4.xml.rels><?xml version="1.0" encoding="UTF-8" standalone="yes"?>
<Relationships xmlns="http://schemas.openxmlformats.org/package/2006/relationships"><Relationship Id="rId1"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9"/>
  <sheetViews>
    <sheetView tabSelected="1" zoomScale="80" zoomScaleNormal="80" zoomScaleSheetLayoutView="30" workbookViewId="0">
      <pane xSplit="2" ySplit="2" topLeftCell="C3" activePane="bottomRight" state="frozen"/>
      <selection/>
      <selection pane="topRight"/>
      <selection pane="bottomLeft"/>
      <selection pane="bottomRight" activeCell="F4" sqref="F4"/>
    </sheetView>
  </sheetViews>
  <sheetFormatPr defaultColWidth="8.66666666666667" defaultRowHeight="80" customHeight="1" outlineLevelCol="2"/>
  <cols>
    <col min="1" max="1" width="10.7142857142857" style="77" customWidth="1"/>
    <col min="2" max="2" width="116.247619047619" style="77" customWidth="1"/>
    <col min="3" max="3" width="40.3619047619048" style="78" customWidth="1"/>
    <col min="4" max="4" width="10.4285714285714" style="77"/>
    <col min="5" max="16384" width="8.66666666666667" style="77"/>
  </cols>
  <sheetData>
    <row r="1" s="75" customFormat="1" customHeight="1" spans="1:3">
      <c r="A1" s="9" t="s">
        <v>0</v>
      </c>
      <c r="B1" s="9"/>
      <c r="C1" s="9"/>
    </row>
    <row r="2" s="76" customFormat="1" customHeight="1" spans="1:3">
      <c r="A2" s="79" t="s">
        <v>1</v>
      </c>
      <c r="B2" s="79" t="s">
        <v>2</v>
      </c>
      <c r="C2" s="79" t="s">
        <v>3</v>
      </c>
    </row>
    <row r="3" s="76" customFormat="1" customHeight="1" spans="1:3">
      <c r="A3" s="80">
        <v>1</v>
      </c>
      <c r="B3" s="80" t="s">
        <v>4</v>
      </c>
      <c r="C3" s="81">
        <v>1734</v>
      </c>
    </row>
    <row r="4" s="76" customFormat="1" customHeight="1" spans="1:3">
      <c r="A4" s="80">
        <v>2</v>
      </c>
      <c r="B4" s="80" t="s">
        <v>5</v>
      </c>
      <c r="C4" s="81">
        <v>9915</v>
      </c>
    </row>
    <row r="5" s="76" customFormat="1" customHeight="1" spans="1:3">
      <c r="A5" s="80">
        <v>3</v>
      </c>
      <c r="B5" s="80" t="s">
        <v>6</v>
      </c>
      <c r="C5" s="81">
        <v>64800</v>
      </c>
    </row>
    <row r="6" s="76" customFormat="1" customHeight="1" spans="1:3">
      <c r="A6" s="80">
        <v>4</v>
      </c>
      <c r="B6" s="80" t="s">
        <v>7</v>
      </c>
      <c r="C6" s="81">
        <v>16660</v>
      </c>
    </row>
    <row r="7" s="76" customFormat="1" customHeight="1" spans="1:3">
      <c r="A7" s="80">
        <v>5</v>
      </c>
      <c r="B7" s="80" t="s">
        <v>8</v>
      </c>
      <c r="C7" s="81">
        <v>6580</v>
      </c>
    </row>
    <row r="8" s="76" customFormat="1" customHeight="1" spans="1:3">
      <c r="A8" s="80">
        <v>6</v>
      </c>
      <c r="B8" s="80" t="s">
        <v>9</v>
      </c>
      <c r="C8" s="81">
        <v>11774</v>
      </c>
    </row>
    <row r="9" s="76" customFormat="1" customHeight="1" spans="1:3">
      <c r="A9" s="80">
        <v>7</v>
      </c>
      <c r="B9" s="80" t="s">
        <v>10</v>
      </c>
      <c r="C9" s="81">
        <v>4903</v>
      </c>
    </row>
    <row r="10" s="76" customFormat="1" customHeight="1" spans="1:3">
      <c r="A10" s="80">
        <v>8</v>
      </c>
      <c r="B10" s="82" t="s">
        <v>11</v>
      </c>
      <c r="C10" s="81">
        <v>44400</v>
      </c>
    </row>
    <row r="11" s="76" customFormat="1" customHeight="1" spans="1:3">
      <c r="A11" s="80">
        <v>9</v>
      </c>
      <c r="B11" s="82" t="s">
        <v>12</v>
      </c>
      <c r="C11" s="81">
        <v>239188</v>
      </c>
    </row>
    <row r="12" s="76" customFormat="1" customHeight="1" spans="1:3">
      <c r="A12" s="80">
        <v>10</v>
      </c>
      <c r="B12" s="82" t="s">
        <v>13</v>
      </c>
      <c r="C12" s="81">
        <v>187954</v>
      </c>
    </row>
    <row r="13" s="76" customFormat="1" customHeight="1" spans="1:3">
      <c r="A13" s="80">
        <v>11</v>
      </c>
      <c r="B13" s="82" t="s">
        <v>14</v>
      </c>
      <c r="C13" s="81">
        <v>6000</v>
      </c>
    </row>
    <row r="14" s="76" customFormat="1" customHeight="1" spans="1:3">
      <c r="A14" s="80">
        <v>12</v>
      </c>
      <c r="B14" s="82" t="s">
        <v>15</v>
      </c>
      <c r="C14" s="81">
        <v>3306</v>
      </c>
    </row>
    <row r="15" s="76" customFormat="1" customHeight="1" spans="1:3">
      <c r="A15" s="80">
        <v>13</v>
      </c>
      <c r="B15" s="82" t="s">
        <v>16</v>
      </c>
      <c r="C15" s="81">
        <v>96300</v>
      </c>
    </row>
    <row r="16" s="76" customFormat="1" customHeight="1" spans="1:3">
      <c r="A16" s="80">
        <v>14</v>
      </c>
      <c r="B16" s="82" t="s">
        <v>17</v>
      </c>
      <c r="C16" s="81">
        <v>111600</v>
      </c>
    </row>
    <row r="17" s="76" customFormat="1" customHeight="1" spans="1:3">
      <c r="A17" s="80">
        <v>15</v>
      </c>
      <c r="B17" s="80" t="s">
        <v>18</v>
      </c>
      <c r="C17" s="81">
        <v>11160</v>
      </c>
    </row>
    <row r="18" s="76" customFormat="1" customHeight="1" spans="1:3">
      <c r="A18" s="80">
        <v>16</v>
      </c>
      <c r="B18" s="80" t="s">
        <v>19</v>
      </c>
      <c r="C18" s="81">
        <v>3522</v>
      </c>
    </row>
    <row r="19" s="76" customFormat="1" customHeight="1" spans="1:3">
      <c r="A19" s="80">
        <v>17</v>
      </c>
      <c r="B19" s="80" t="s">
        <v>20</v>
      </c>
      <c r="C19" s="81">
        <v>3870</v>
      </c>
    </row>
    <row r="20" s="76" customFormat="1" customHeight="1" spans="1:3">
      <c r="A20" s="80">
        <v>18</v>
      </c>
      <c r="B20" s="80" t="s">
        <v>21</v>
      </c>
      <c r="C20" s="81">
        <v>61234</v>
      </c>
    </row>
    <row r="21" s="76" customFormat="1" customHeight="1" spans="1:3">
      <c r="A21" s="80">
        <v>19</v>
      </c>
      <c r="B21" s="80" t="s">
        <v>22</v>
      </c>
      <c r="C21" s="81">
        <v>148851</v>
      </c>
    </row>
    <row r="22" s="76" customFormat="1" customHeight="1" spans="1:3">
      <c r="A22" s="80">
        <v>20</v>
      </c>
      <c r="B22" s="80" t="s">
        <v>23</v>
      </c>
      <c r="C22" s="81">
        <v>14331</v>
      </c>
    </row>
    <row r="23" s="76" customFormat="1" customHeight="1" spans="1:3">
      <c r="A23" s="80">
        <v>21</v>
      </c>
      <c r="B23" s="83" t="s">
        <v>24</v>
      </c>
      <c r="C23" s="81">
        <v>17479</v>
      </c>
    </row>
    <row r="24" s="76" customFormat="1" customHeight="1" spans="1:3">
      <c r="A24" s="80">
        <v>22</v>
      </c>
      <c r="B24" s="83" t="s">
        <v>25</v>
      </c>
      <c r="C24" s="81">
        <v>136958</v>
      </c>
    </row>
    <row r="25" s="76" customFormat="1" customHeight="1" spans="1:3">
      <c r="A25" s="80">
        <v>23</v>
      </c>
      <c r="B25" s="83" t="s">
        <v>26</v>
      </c>
      <c r="C25" s="81">
        <v>48354</v>
      </c>
    </row>
    <row r="26" s="76" customFormat="1" customHeight="1" spans="1:3">
      <c r="A26" s="80">
        <v>24</v>
      </c>
      <c r="B26" s="83" t="s">
        <v>27</v>
      </c>
      <c r="C26" s="81">
        <v>7200</v>
      </c>
    </row>
    <row r="27" s="76" customFormat="1" customHeight="1" spans="1:3">
      <c r="A27" s="80">
        <v>25</v>
      </c>
      <c r="B27" s="83" t="s">
        <v>28</v>
      </c>
      <c r="C27" s="81">
        <v>7800</v>
      </c>
    </row>
    <row r="28" s="76" customFormat="1" customHeight="1" spans="1:3">
      <c r="A28" s="80">
        <v>26</v>
      </c>
      <c r="B28" s="83" t="s">
        <v>29</v>
      </c>
      <c r="C28" s="81">
        <v>36000</v>
      </c>
    </row>
    <row r="29" s="76" customFormat="1" customHeight="1" spans="1:3">
      <c r="A29" s="80">
        <v>27</v>
      </c>
      <c r="B29" s="83" t="s">
        <v>30</v>
      </c>
      <c r="C29" s="81">
        <v>73569</v>
      </c>
    </row>
    <row r="30" s="76" customFormat="1" customHeight="1" spans="1:3">
      <c r="A30" s="80">
        <v>28</v>
      </c>
      <c r="B30" s="80" t="s">
        <v>31</v>
      </c>
      <c r="C30" s="81">
        <v>4800</v>
      </c>
    </row>
    <row r="31" s="76" customFormat="1" customHeight="1" spans="1:3">
      <c r="A31" s="80">
        <v>29</v>
      </c>
      <c r="B31" s="80" t="s">
        <v>32</v>
      </c>
      <c r="C31" s="81">
        <v>2869</v>
      </c>
    </row>
    <row r="32" s="76" customFormat="1" customHeight="1" spans="1:3">
      <c r="A32" s="80">
        <v>30</v>
      </c>
      <c r="B32" s="80" t="s">
        <v>33</v>
      </c>
      <c r="C32" s="81">
        <v>64680</v>
      </c>
    </row>
    <row r="33" s="76" customFormat="1" customHeight="1" spans="1:3">
      <c r="A33" s="80">
        <v>31</v>
      </c>
      <c r="B33" s="80" t="s">
        <v>34</v>
      </c>
      <c r="C33" s="81">
        <v>287920</v>
      </c>
    </row>
    <row r="34" s="76" customFormat="1" customHeight="1" spans="1:3">
      <c r="A34" s="80">
        <v>32</v>
      </c>
      <c r="B34" s="80" t="s">
        <v>35</v>
      </c>
      <c r="C34" s="81">
        <v>3890</v>
      </c>
    </row>
    <row r="35" s="76" customFormat="1" customHeight="1" spans="1:3">
      <c r="A35" s="80">
        <v>33</v>
      </c>
      <c r="B35" s="80" t="s">
        <v>36</v>
      </c>
      <c r="C35" s="81">
        <v>3890</v>
      </c>
    </row>
    <row r="36" s="76" customFormat="1" customHeight="1" spans="1:3">
      <c r="A36" s="80">
        <v>34</v>
      </c>
      <c r="B36" s="80" t="s">
        <v>37</v>
      </c>
      <c r="C36" s="81">
        <v>9503</v>
      </c>
    </row>
    <row r="37" s="76" customFormat="1" customHeight="1" spans="1:3">
      <c r="A37" s="80">
        <v>35</v>
      </c>
      <c r="B37" s="80" t="s">
        <v>38</v>
      </c>
      <c r="C37" s="81">
        <v>75522</v>
      </c>
    </row>
    <row r="38" s="76" customFormat="1" customHeight="1" spans="1:3">
      <c r="A38" s="80">
        <v>36</v>
      </c>
      <c r="B38" s="80" t="s">
        <v>39</v>
      </c>
      <c r="C38" s="81">
        <v>2869</v>
      </c>
    </row>
    <row r="39" s="76" customFormat="1" customHeight="1" spans="1:3">
      <c r="A39" s="80">
        <v>37</v>
      </c>
      <c r="B39" s="80" t="s">
        <v>40</v>
      </c>
      <c r="C39" s="81">
        <v>300000</v>
      </c>
    </row>
    <row r="40" s="76" customFormat="1" customHeight="1" spans="1:3">
      <c r="A40" s="80">
        <v>38</v>
      </c>
      <c r="B40" s="82" t="s">
        <v>41</v>
      </c>
      <c r="C40" s="81">
        <v>51098</v>
      </c>
    </row>
    <row r="41" s="76" customFormat="1" customHeight="1" spans="1:3">
      <c r="A41" s="80">
        <v>39</v>
      </c>
      <c r="B41" s="82" t="s">
        <v>42</v>
      </c>
      <c r="C41" s="81">
        <v>300000</v>
      </c>
    </row>
    <row r="42" s="76" customFormat="1" customHeight="1" spans="1:3">
      <c r="A42" s="80">
        <v>40</v>
      </c>
      <c r="B42" s="82" t="s">
        <v>43</v>
      </c>
      <c r="C42" s="81">
        <v>5690</v>
      </c>
    </row>
    <row r="43" s="76" customFormat="1" customHeight="1" spans="1:3">
      <c r="A43" s="80">
        <v>41</v>
      </c>
      <c r="B43" s="82" t="s">
        <v>44</v>
      </c>
      <c r="C43" s="81">
        <v>5620</v>
      </c>
    </row>
    <row r="44" s="76" customFormat="1" customHeight="1" spans="1:3">
      <c r="A44" s="80">
        <v>42</v>
      </c>
      <c r="B44" s="82" t="s">
        <v>45</v>
      </c>
      <c r="C44" s="81">
        <v>33110</v>
      </c>
    </row>
    <row r="45" s="76" customFormat="1" customHeight="1" spans="1:3">
      <c r="A45" s="80">
        <v>43</v>
      </c>
      <c r="B45" s="83" t="s">
        <v>46</v>
      </c>
      <c r="C45" s="81">
        <v>16645</v>
      </c>
    </row>
    <row r="46" s="76" customFormat="1" customHeight="1" spans="1:3">
      <c r="A46" s="80">
        <v>44</v>
      </c>
      <c r="B46" s="82" t="s">
        <v>47</v>
      </c>
      <c r="C46" s="81">
        <v>92782</v>
      </c>
    </row>
    <row r="47" s="76" customFormat="1" customHeight="1" spans="1:3">
      <c r="A47" s="80">
        <v>45</v>
      </c>
      <c r="B47" s="82" t="s">
        <v>48</v>
      </c>
      <c r="C47" s="81">
        <v>15716</v>
      </c>
    </row>
    <row r="48" s="76" customFormat="1" customHeight="1" spans="1:3">
      <c r="A48" s="80">
        <v>46</v>
      </c>
      <c r="B48" s="82" t="s">
        <v>49</v>
      </c>
      <c r="C48" s="81">
        <v>300000</v>
      </c>
    </row>
    <row r="49" s="76" customFormat="1" customHeight="1" spans="1:3">
      <c r="A49" s="80">
        <v>47</v>
      </c>
      <c r="B49" s="82" t="s">
        <v>50</v>
      </c>
      <c r="C49" s="81">
        <v>28800</v>
      </c>
    </row>
    <row r="50" s="76" customFormat="1" customHeight="1" spans="1:3">
      <c r="A50" s="80">
        <v>48</v>
      </c>
      <c r="B50" s="82" t="s">
        <v>51</v>
      </c>
      <c r="C50" s="81">
        <v>4354</v>
      </c>
    </row>
    <row r="51" s="76" customFormat="1" customHeight="1" spans="1:3">
      <c r="A51" s="80">
        <v>49</v>
      </c>
      <c r="B51" s="82" t="s">
        <v>52</v>
      </c>
      <c r="C51" s="81">
        <v>81064</v>
      </c>
    </row>
    <row r="52" s="76" customFormat="1" customHeight="1" spans="1:3">
      <c r="A52" s="80">
        <v>50</v>
      </c>
      <c r="B52" s="82" t="s">
        <v>53</v>
      </c>
      <c r="C52" s="81">
        <v>93600</v>
      </c>
    </row>
    <row r="53" s="76" customFormat="1" customHeight="1" spans="1:3">
      <c r="A53" s="80">
        <v>51</v>
      </c>
      <c r="B53" s="82" t="s">
        <v>54</v>
      </c>
      <c r="C53" s="81">
        <v>300000</v>
      </c>
    </row>
    <row r="54" s="76" customFormat="1" customHeight="1" spans="1:3">
      <c r="A54" s="80">
        <v>52</v>
      </c>
      <c r="B54" s="82" t="s">
        <v>55</v>
      </c>
      <c r="C54" s="81">
        <v>206504</v>
      </c>
    </row>
    <row r="55" s="76" customFormat="1" customHeight="1" spans="1:3">
      <c r="A55" s="80">
        <v>53</v>
      </c>
      <c r="B55" s="82" t="s">
        <v>56</v>
      </c>
      <c r="C55" s="81">
        <v>96386</v>
      </c>
    </row>
    <row r="56" s="76" customFormat="1" customHeight="1" spans="1:3">
      <c r="A56" s="80">
        <v>54</v>
      </c>
      <c r="B56" s="82" t="s">
        <v>57</v>
      </c>
      <c r="C56" s="81">
        <v>56409</v>
      </c>
    </row>
    <row r="57" s="76" customFormat="1" customHeight="1" spans="1:3">
      <c r="A57" s="80">
        <v>55</v>
      </c>
      <c r="B57" s="82" t="s">
        <v>58</v>
      </c>
      <c r="C57" s="81">
        <v>202646</v>
      </c>
    </row>
    <row r="58" s="76" customFormat="1" customHeight="1" spans="1:3">
      <c r="A58" s="80">
        <v>56</v>
      </c>
      <c r="B58" s="82" t="s">
        <v>59</v>
      </c>
      <c r="C58" s="81">
        <v>300000</v>
      </c>
    </row>
    <row r="59" s="76" customFormat="1" customHeight="1" spans="1:3">
      <c r="A59" s="80">
        <v>57</v>
      </c>
      <c r="B59" s="82" t="s">
        <v>60</v>
      </c>
      <c r="C59" s="81">
        <v>300000</v>
      </c>
    </row>
    <row r="60" s="76" customFormat="1" customHeight="1" spans="1:3">
      <c r="A60" s="80">
        <v>58</v>
      </c>
      <c r="B60" s="82" t="s">
        <v>61</v>
      </c>
      <c r="C60" s="81">
        <v>50028</v>
      </c>
    </row>
    <row r="61" s="76" customFormat="1" customHeight="1" spans="1:3">
      <c r="A61" s="80">
        <v>59</v>
      </c>
      <c r="B61" s="82" t="s">
        <v>62</v>
      </c>
      <c r="C61" s="81">
        <v>2645</v>
      </c>
    </row>
    <row r="62" s="76" customFormat="1" customHeight="1" spans="1:3">
      <c r="A62" s="80">
        <v>60</v>
      </c>
      <c r="B62" s="82" t="s">
        <v>63</v>
      </c>
      <c r="C62" s="81">
        <v>50348</v>
      </c>
    </row>
    <row r="63" s="76" customFormat="1" customHeight="1" spans="1:3">
      <c r="A63" s="80">
        <v>61</v>
      </c>
      <c r="B63" s="82" t="s">
        <v>64</v>
      </c>
      <c r="C63" s="81">
        <v>12270</v>
      </c>
    </row>
    <row r="64" s="76" customFormat="1" customHeight="1" spans="1:3">
      <c r="A64" s="80">
        <v>62</v>
      </c>
      <c r="B64" s="82" t="s">
        <v>65</v>
      </c>
      <c r="C64" s="81">
        <v>300000</v>
      </c>
    </row>
    <row r="65" s="76" customFormat="1" customHeight="1" spans="1:3">
      <c r="A65" s="80">
        <v>63</v>
      </c>
      <c r="B65" s="82" t="s">
        <v>66</v>
      </c>
      <c r="C65" s="81">
        <v>211800</v>
      </c>
    </row>
    <row r="66" s="76" customFormat="1" customHeight="1" spans="1:3">
      <c r="A66" s="80">
        <v>64</v>
      </c>
      <c r="B66" s="82" t="s">
        <v>67</v>
      </c>
      <c r="C66" s="81">
        <v>300000</v>
      </c>
    </row>
    <row r="67" s="76" customFormat="1" customHeight="1" spans="1:3">
      <c r="A67" s="80">
        <v>65</v>
      </c>
      <c r="B67" s="82" t="s">
        <v>68</v>
      </c>
      <c r="C67" s="81">
        <v>309428</v>
      </c>
    </row>
    <row r="68" customHeight="1" spans="1:3">
      <c r="A68" s="80">
        <v>66</v>
      </c>
      <c r="B68" s="80" t="s">
        <v>69</v>
      </c>
      <c r="C68" s="81">
        <v>28920</v>
      </c>
    </row>
    <row r="69" customHeight="1" spans="1:3">
      <c r="A69" s="80">
        <v>67</v>
      </c>
      <c r="B69" s="80" t="s">
        <v>70</v>
      </c>
      <c r="C69" s="81">
        <v>6987</v>
      </c>
    </row>
    <row r="70" customHeight="1" spans="1:3">
      <c r="A70" s="80">
        <v>68</v>
      </c>
      <c r="B70" s="80" t="s">
        <v>71</v>
      </c>
      <c r="C70" s="81">
        <v>3522</v>
      </c>
    </row>
    <row r="71" customHeight="1" spans="1:3">
      <c r="A71" s="80">
        <v>69</v>
      </c>
      <c r="B71" s="80" t="s">
        <v>72</v>
      </c>
      <c r="C71" s="81">
        <v>67334</v>
      </c>
    </row>
    <row r="72" customHeight="1" spans="1:3">
      <c r="A72" s="80">
        <v>70</v>
      </c>
      <c r="B72" s="80" t="s">
        <v>73</v>
      </c>
      <c r="C72" s="81">
        <v>3541</v>
      </c>
    </row>
    <row r="73" customHeight="1" spans="1:3">
      <c r="A73" s="80">
        <v>71</v>
      </c>
      <c r="B73" s="80" t="s">
        <v>74</v>
      </c>
      <c r="C73" s="81">
        <v>33559</v>
      </c>
    </row>
    <row r="74" customHeight="1" spans="1:3">
      <c r="A74" s="80">
        <v>72</v>
      </c>
      <c r="B74" s="80" t="s">
        <v>75</v>
      </c>
      <c r="C74" s="81">
        <v>3522</v>
      </c>
    </row>
    <row r="75" customHeight="1" spans="1:3">
      <c r="A75" s="80">
        <v>73</v>
      </c>
      <c r="B75" s="80" t="s">
        <v>76</v>
      </c>
      <c r="C75" s="81">
        <v>3212</v>
      </c>
    </row>
    <row r="76" customHeight="1" spans="1:3">
      <c r="A76" s="80">
        <v>74</v>
      </c>
      <c r="B76" s="80" t="s">
        <v>77</v>
      </c>
      <c r="C76" s="81">
        <v>22120</v>
      </c>
    </row>
    <row r="77" customHeight="1" spans="1:3">
      <c r="A77" s="80">
        <v>75</v>
      </c>
      <c r="B77" s="80" t="s">
        <v>78</v>
      </c>
      <c r="C77" s="81">
        <v>59534</v>
      </c>
    </row>
    <row r="78" customHeight="1" spans="1:3">
      <c r="A78" s="80">
        <v>76</v>
      </c>
      <c r="B78" s="80" t="s">
        <v>79</v>
      </c>
      <c r="C78" s="81">
        <v>3600</v>
      </c>
    </row>
    <row r="79" customHeight="1" spans="1:3">
      <c r="A79" s="80">
        <v>77</v>
      </c>
      <c r="B79" s="80" t="s">
        <v>80</v>
      </c>
      <c r="C79" s="81">
        <v>7800</v>
      </c>
    </row>
    <row r="80" customHeight="1" spans="1:3">
      <c r="A80" s="80">
        <v>78</v>
      </c>
      <c r="B80" s="80" t="s">
        <v>81</v>
      </c>
      <c r="C80" s="81">
        <v>9309</v>
      </c>
    </row>
    <row r="81" customHeight="1" spans="1:3">
      <c r="A81" s="80">
        <v>79</v>
      </c>
      <c r="B81" s="80" t="s">
        <v>82</v>
      </c>
      <c r="C81" s="81">
        <v>54720</v>
      </c>
    </row>
    <row r="82" customHeight="1" spans="1:3">
      <c r="A82" s="80">
        <v>80</v>
      </c>
      <c r="B82" s="80" t="s">
        <v>83</v>
      </c>
      <c r="C82" s="81">
        <v>27616</v>
      </c>
    </row>
    <row r="83" customHeight="1" spans="1:3">
      <c r="A83" s="80">
        <v>81</v>
      </c>
      <c r="B83" s="80" t="s">
        <v>84</v>
      </c>
      <c r="C83" s="81">
        <v>17580</v>
      </c>
    </row>
    <row r="84" s="77" customFormat="1" customHeight="1" spans="1:3">
      <c r="A84" s="80">
        <v>82</v>
      </c>
      <c r="B84" s="80" t="s">
        <v>85</v>
      </c>
      <c r="C84" s="81">
        <v>100377</v>
      </c>
    </row>
    <row r="85" customHeight="1" spans="1:3">
      <c r="A85" s="80">
        <v>83</v>
      </c>
      <c r="B85" s="80" t="s">
        <v>86</v>
      </c>
      <c r="C85" s="81">
        <v>300000</v>
      </c>
    </row>
    <row r="86" customHeight="1" spans="1:3">
      <c r="A86" s="80">
        <v>84</v>
      </c>
      <c r="B86" s="80" t="s">
        <v>87</v>
      </c>
      <c r="C86" s="81">
        <v>129956</v>
      </c>
    </row>
    <row r="87" customHeight="1" spans="1:3">
      <c r="A87" s="80">
        <v>85</v>
      </c>
      <c r="B87" s="80" t="s">
        <v>88</v>
      </c>
      <c r="C87" s="81">
        <v>3522</v>
      </c>
    </row>
    <row r="88" customHeight="1" spans="1:3">
      <c r="A88" s="80">
        <v>86</v>
      </c>
      <c r="B88" s="80" t="s">
        <v>89</v>
      </c>
      <c r="C88" s="81">
        <v>122806</v>
      </c>
    </row>
    <row r="89" customHeight="1" spans="1:3">
      <c r="A89" s="80">
        <v>87</v>
      </c>
      <c r="B89" s="80" t="s">
        <v>90</v>
      </c>
      <c r="C89" s="81">
        <v>9580</v>
      </c>
    </row>
    <row r="90" customHeight="1" spans="1:3">
      <c r="A90" s="80">
        <v>88</v>
      </c>
      <c r="B90" s="80" t="s">
        <v>91</v>
      </c>
      <c r="C90" s="81">
        <v>48384</v>
      </c>
    </row>
    <row r="91" customHeight="1" spans="1:3">
      <c r="A91" s="80">
        <v>89</v>
      </c>
      <c r="B91" s="80" t="s">
        <v>92</v>
      </c>
      <c r="C91" s="81">
        <v>113299</v>
      </c>
    </row>
    <row r="92" s="77" customFormat="1" customHeight="1" spans="1:3">
      <c r="A92" s="80">
        <v>90</v>
      </c>
      <c r="B92" s="80" t="s">
        <v>93</v>
      </c>
      <c r="C92" s="81">
        <v>1664</v>
      </c>
    </row>
    <row r="93" customHeight="1" spans="1:3">
      <c r="A93" s="80">
        <v>91</v>
      </c>
      <c r="B93" s="80" t="s">
        <v>94</v>
      </c>
      <c r="C93" s="81">
        <v>120739</v>
      </c>
    </row>
    <row r="94" customHeight="1" spans="1:3">
      <c r="A94" s="80">
        <v>92</v>
      </c>
      <c r="B94" s="80" t="s">
        <v>95</v>
      </c>
      <c r="C94" s="81">
        <v>10560</v>
      </c>
    </row>
    <row r="95" customHeight="1" spans="1:3">
      <c r="A95" s="80">
        <v>93</v>
      </c>
      <c r="B95" s="80" t="s">
        <v>96</v>
      </c>
      <c r="C95" s="81">
        <v>22730</v>
      </c>
    </row>
    <row r="96" customHeight="1" spans="1:3">
      <c r="A96" s="80">
        <v>94</v>
      </c>
      <c r="B96" s="80" t="s">
        <v>97</v>
      </c>
      <c r="C96" s="81">
        <v>6762</v>
      </c>
    </row>
    <row r="97" customHeight="1" spans="1:3">
      <c r="A97" s="80">
        <v>95</v>
      </c>
      <c r="B97" s="80" t="s">
        <v>98</v>
      </c>
      <c r="C97" s="81">
        <v>3000</v>
      </c>
    </row>
    <row r="98" customHeight="1" spans="1:3">
      <c r="A98" s="80">
        <v>96</v>
      </c>
      <c r="B98" s="80" t="s">
        <v>99</v>
      </c>
      <c r="C98" s="81">
        <v>300000</v>
      </c>
    </row>
    <row r="99" customHeight="1" spans="1:3">
      <c r="A99" s="80">
        <v>97</v>
      </c>
      <c r="B99" s="80" t="s">
        <v>100</v>
      </c>
      <c r="C99" s="81">
        <v>3600</v>
      </c>
    </row>
    <row r="100" customHeight="1" spans="1:3">
      <c r="A100" s="80">
        <v>98</v>
      </c>
      <c r="B100" s="80" t="s">
        <v>101</v>
      </c>
      <c r="C100" s="81">
        <v>28049</v>
      </c>
    </row>
    <row r="101" customHeight="1" spans="1:3">
      <c r="A101" s="80">
        <v>99</v>
      </c>
      <c r="B101" s="80" t="s">
        <v>102</v>
      </c>
      <c r="C101" s="81">
        <v>27546</v>
      </c>
    </row>
    <row r="102" customHeight="1" spans="1:3">
      <c r="A102" s="80">
        <v>100</v>
      </c>
      <c r="B102" s="80" t="s">
        <v>103</v>
      </c>
      <c r="C102" s="81">
        <v>25122</v>
      </c>
    </row>
    <row r="103" customHeight="1" spans="1:3">
      <c r="A103" s="80">
        <v>101</v>
      </c>
      <c r="B103" s="80" t="s">
        <v>104</v>
      </c>
      <c r="C103" s="81">
        <v>4800</v>
      </c>
    </row>
    <row r="104" customHeight="1" spans="1:3">
      <c r="A104" s="80">
        <v>102</v>
      </c>
      <c r="B104" s="80" t="s">
        <v>105</v>
      </c>
      <c r="C104" s="81">
        <v>6789</v>
      </c>
    </row>
    <row r="105" customHeight="1" spans="1:3">
      <c r="A105" s="80">
        <v>103</v>
      </c>
      <c r="B105" s="80" t="s">
        <v>106</v>
      </c>
      <c r="C105" s="81">
        <v>140358</v>
      </c>
    </row>
    <row r="106" customHeight="1" spans="1:3">
      <c r="A106" s="80">
        <v>104</v>
      </c>
      <c r="B106" s="80" t="s">
        <v>107</v>
      </c>
      <c r="C106" s="81">
        <v>125580</v>
      </c>
    </row>
    <row r="107" customHeight="1" spans="1:3">
      <c r="A107" s="80">
        <v>105</v>
      </c>
      <c r="B107" s="80" t="s">
        <v>108</v>
      </c>
      <c r="C107" s="81">
        <v>299460</v>
      </c>
    </row>
    <row r="108" customHeight="1" spans="1:3">
      <c r="A108" s="80">
        <v>106</v>
      </c>
      <c r="B108" s="80" t="s">
        <v>109</v>
      </c>
      <c r="C108" s="81">
        <v>300000</v>
      </c>
    </row>
    <row r="109" customHeight="1" spans="1:3">
      <c r="A109" s="80">
        <v>107</v>
      </c>
      <c r="B109" s="80" t="s">
        <v>110</v>
      </c>
      <c r="C109" s="81">
        <v>134943</v>
      </c>
    </row>
    <row r="110" customHeight="1" spans="1:3">
      <c r="A110" s="80">
        <v>108</v>
      </c>
      <c r="B110" s="80" t="s">
        <v>111</v>
      </c>
      <c r="C110" s="81">
        <v>487</v>
      </c>
    </row>
    <row r="111" customHeight="1" spans="1:3">
      <c r="A111" s="80">
        <v>109</v>
      </c>
      <c r="B111" s="80" t="s">
        <v>112</v>
      </c>
      <c r="C111" s="81">
        <v>300000</v>
      </c>
    </row>
    <row r="112" customHeight="1" spans="1:3">
      <c r="A112" s="80">
        <v>110</v>
      </c>
      <c r="B112" s="80" t="s">
        <v>113</v>
      </c>
      <c r="C112" s="81">
        <v>36405</v>
      </c>
    </row>
    <row r="113" s="77" customFormat="1" customHeight="1" spans="1:3">
      <c r="A113" s="80">
        <v>111</v>
      </c>
      <c r="B113" s="80" t="s">
        <v>114</v>
      </c>
      <c r="C113" s="81">
        <v>44488</v>
      </c>
    </row>
    <row r="114" customHeight="1" spans="1:3">
      <c r="A114" s="80">
        <v>112</v>
      </c>
      <c r="B114" s="80" t="s">
        <v>115</v>
      </c>
      <c r="C114" s="81">
        <v>6741</v>
      </c>
    </row>
    <row r="115" customHeight="1" spans="1:3">
      <c r="A115" s="80">
        <v>113</v>
      </c>
      <c r="B115" s="80" t="s">
        <v>116</v>
      </c>
      <c r="C115" s="81">
        <v>56061</v>
      </c>
    </row>
    <row r="116" customHeight="1" spans="1:3">
      <c r="A116" s="80">
        <v>114</v>
      </c>
      <c r="B116" s="80" t="s">
        <v>117</v>
      </c>
      <c r="C116" s="81">
        <v>10464</v>
      </c>
    </row>
    <row r="117" customHeight="1" spans="1:3">
      <c r="A117" s="80">
        <v>115</v>
      </c>
      <c r="B117" s="80" t="s">
        <v>118</v>
      </c>
      <c r="C117" s="81">
        <v>7660</v>
      </c>
    </row>
    <row r="118" customHeight="1" spans="1:3">
      <c r="A118" s="80">
        <v>116</v>
      </c>
      <c r="B118" s="80" t="s">
        <v>119</v>
      </c>
      <c r="C118" s="81">
        <v>29121</v>
      </c>
    </row>
    <row r="119" customHeight="1" spans="1:3">
      <c r="A119" s="80">
        <v>117</v>
      </c>
      <c r="B119" s="80" t="s">
        <v>120</v>
      </c>
      <c r="C119" s="81">
        <v>2400</v>
      </c>
    </row>
    <row r="120" customHeight="1" spans="1:3">
      <c r="A120" s="80">
        <v>118</v>
      </c>
      <c r="B120" s="80" t="s">
        <v>121</v>
      </c>
      <c r="C120" s="81">
        <v>4200</v>
      </c>
    </row>
    <row r="121" customHeight="1" spans="1:3">
      <c r="A121" s="80">
        <v>119</v>
      </c>
      <c r="B121" s="80" t="s">
        <v>122</v>
      </c>
      <c r="C121" s="81">
        <v>4200</v>
      </c>
    </row>
    <row r="122" customHeight="1" spans="1:3">
      <c r="A122" s="80">
        <v>120</v>
      </c>
      <c r="B122" s="80" t="s">
        <v>123</v>
      </c>
      <c r="C122" s="81">
        <v>7200</v>
      </c>
    </row>
    <row r="123" customHeight="1" spans="1:3">
      <c r="A123" s="80">
        <v>121</v>
      </c>
      <c r="B123" s="80" t="s">
        <v>124</v>
      </c>
      <c r="C123" s="81">
        <v>4200</v>
      </c>
    </row>
    <row r="124" customHeight="1" spans="1:3">
      <c r="A124" s="80">
        <v>122</v>
      </c>
      <c r="B124" s="80" t="s">
        <v>125</v>
      </c>
      <c r="C124" s="81">
        <v>29700</v>
      </c>
    </row>
    <row r="125" customHeight="1" spans="1:3">
      <c r="A125" s="80">
        <v>123</v>
      </c>
      <c r="B125" s="80" t="s">
        <v>126</v>
      </c>
      <c r="C125" s="81">
        <v>300000</v>
      </c>
    </row>
    <row r="126" customHeight="1" spans="1:3">
      <c r="A126" s="80">
        <v>124</v>
      </c>
      <c r="B126" s="80" t="s">
        <v>127</v>
      </c>
      <c r="C126" s="81">
        <v>508800</v>
      </c>
    </row>
    <row r="127" customHeight="1" spans="1:3">
      <c r="A127" s="80">
        <v>125</v>
      </c>
      <c r="B127" s="80" t="s">
        <v>128</v>
      </c>
      <c r="C127" s="81">
        <v>15256</v>
      </c>
    </row>
    <row r="128" customHeight="1" spans="1:3">
      <c r="A128" s="80">
        <v>126</v>
      </c>
      <c r="B128" s="80" t="s">
        <v>129</v>
      </c>
      <c r="C128" s="81">
        <v>10912</v>
      </c>
    </row>
    <row r="129" s="77" customFormat="1" customHeight="1" spans="1:3">
      <c r="A129" s="80">
        <v>127</v>
      </c>
      <c r="B129" s="82" t="s">
        <v>130</v>
      </c>
      <c r="C129" s="81">
        <v>1809</v>
      </c>
    </row>
    <row r="130" s="77" customFormat="1" customHeight="1" spans="1:3">
      <c r="A130" s="80">
        <v>128</v>
      </c>
      <c r="B130" s="82" t="s">
        <v>131</v>
      </c>
      <c r="C130" s="81">
        <v>140647</v>
      </c>
    </row>
    <row r="143" customHeight="1" spans="2:2">
      <c r="B143" s="84"/>
    </row>
    <row r="144" customHeight="1" spans="2:2">
      <c r="B144" s="84"/>
    </row>
    <row r="145" customHeight="1" spans="2:2">
      <c r="B145" s="84"/>
    </row>
    <row r="146" customHeight="1" spans="2:2">
      <c r="B146" s="84"/>
    </row>
    <row r="147" customHeight="1" spans="2:2">
      <c r="B147" s="84"/>
    </row>
    <row r="148" customHeight="1" spans="2:2">
      <c r="B148" s="84"/>
    </row>
    <row r="149" customHeight="1" spans="2:2">
      <c r="B149" s="84"/>
    </row>
  </sheetData>
  <autoFilter ref="A2:J130">
    <extLst/>
  </autoFilter>
  <mergeCells count="1">
    <mergeCell ref="A1:C1"/>
  </mergeCells>
  <conditionalFormatting sqref="A2:C2">
    <cfRule type="duplicateValues" dxfId="0" priority="6"/>
  </conditionalFormatting>
  <conditionalFormatting sqref="B129">
    <cfRule type="duplicateValues" dxfId="0" priority="2"/>
  </conditionalFormatting>
  <conditionalFormatting sqref="B130">
    <cfRule type="duplicateValues" dxfId="0" priority="1"/>
  </conditionalFormatting>
  <conditionalFormatting sqref="B68:B128 B131:B142 B150:B1048576">
    <cfRule type="duplicateValues" dxfId="0" priority="14"/>
  </conditionalFormatting>
  <pageMargins left="0.751388888888889" right="0.751388888888889" top="1" bottom="1" header="0.5" footer="0.5"/>
  <pageSetup paperSize="8" fitToHeight="0" orientation="landscape"/>
  <headerFooter/>
  <rowBreaks count="24" manualBreakCount="24">
    <brk id="7" max="16383" man="1"/>
    <brk id="16" max="2" man="1"/>
    <brk id="38" max="2" man="1"/>
    <brk id="51" max="2" man="1"/>
    <brk id="55" max="2" man="1"/>
    <brk id="78" max="2" man="1"/>
    <brk id="87" max="2" man="1"/>
    <brk id="92" max="2" man="1"/>
    <brk id="99" max="2" man="1"/>
    <brk id="104" max="2" man="1"/>
    <brk id="113" max="2" man="1"/>
    <brk id="131" max="16383" man="1"/>
  </rowBreaks>
  <pictur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249"/>
  <sheetViews>
    <sheetView view="pageBreakPreview" zoomScale="50" zoomScaleNormal="55" workbookViewId="0">
      <pane xSplit="2" ySplit="2" topLeftCell="C198" activePane="bottomRight" state="frozen"/>
      <selection/>
      <selection pane="topRight"/>
      <selection pane="bottomLeft"/>
      <selection pane="bottomRight" activeCell="V225" sqref="V225"/>
    </sheetView>
  </sheetViews>
  <sheetFormatPr defaultColWidth="8.66666666666667" defaultRowHeight="16.5"/>
  <cols>
    <col min="1" max="1" width="7.13333333333333" style="5" customWidth="1"/>
    <col min="2" max="2" width="15.9333333333333" style="5" customWidth="1"/>
    <col min="3" max="3" width="25.2" style="5" customWidth="1"/>
    <col min="4" max="4" width="12.6666666666667" style="5" customWidth="1"/>
    <col min="5" max="5" width="18.4666666666667" style="5" customWidth="1"/>
    <col min="6" max="6" width="32.1333333333333" style="5" customWidth="1"/>
    <col min="7" max="7" width="13.6" style="5" customWidth="1"/>
    <col min="8" max="8" width="26.4" style="5" customWidth="1"/>
    <col min="9" max="9" width="18.0666666666667" style="6" customWidth="1"/>
    <col min="10" max="10" width="12.1333333333333" style="6" customWidth="1"/>
    <col min="11" max="11" width="26.9333333333333" style="6" customWidth="1"/>
    <col min="12" max="13" width="13.6666666666667" style="6" customWidth="1"/>
    <col min="14" max="14" width="22.2666666666667" style="6" customWidth="1"/>
    <col min="15" max="15" width="13.6666666666667" style="6" customWidth="1"/>
    <col min="16" max="17" width="18.8" style="6" customWidth="1"/>
    <col min="18" max="20" width="100.733333333333" style="7" customWidth="1"/>
    <col min="21" max="21" width="36.9333333333333" style="8" customWidth="1"/>
    <col min="22" max="22" width="15.8761904761905" style="3"/>
    <col min="23" max="23" width="17.247619047619" style="3"/>
    <col min="24" max="16384" width="8.66666666666667" style="3"/>
  </cols>
  <sheetData>
    <row r="1" s="1" customFormat="1" ht="88" customHeight="1" spans="1:21">
      <c r="A1" s="9" t="s">
        <v>132</v>
      </c>
      <c r="B1" s="9"/>
      <c r="C1" s="9"/>
      <c r="D1" s="9"/>
      <c r="E1" s="9"/>
      <c r="F1" s="9"/>
      <c r="G1" s="9"/>
      <c r="H1" s="9"/>
      <c r="I1" s="9"/>
      <c r="J1" s="9"/>
      <c r="K1" s="9"/>
      <c r="L1" s="9"/>
      <c r="M1" s="9"/>
      <c r="N1" s="9"/>
      <c r="O1" s="9"/>
      <c r="P1" s="9"/>
      <c r="Q1" s="9"/>
      <c r="R1" s="36"/>
      <c r="S1" s="36"/>
      <c r="T1" s="36"/>
      <c r="U1" s="36"/>
    </row>
    <row r="2" s="2" customFormat="1" ht="106.05" customHeight="1" spans="1:21">
      <c r="A2" s="10" t="s">
        <v>1</v>
      </c>
      <c r="B2" s="10" t="s">
        <v>2</v>
      </c>
      <c r="C2" s="10" t="s">
        <v>133</v>
      </c>
      <c r="D2" s="10" t="s">
        <v>134</v>
      </c>
      <c r="E2" s="10" t="s">
        <v>135</v>
      </c>
      <c r="F2" s="10" t="s">
        <v>136</v>
      </c>
      <c r="G2" s="10" t="s">
        <v>137</v>
      </c>
      <c r="H2" s="10" t="s">
        <v>138</v>
      </c>
      <c r="I2" s="10" t="s">
        <v>139</v>
      </c>
      <c r="J2" s="10" t="s">
        <v>140</v>
      </c>
      <c r="K2" s="10" t="s">
        <v>141</v>
      </c>
      <c r="L2" s="10" t="s">
        <v>142</v>
      </c>
      <c r="M2" s="10" t="s">
        <v>143</v>
      </c>
      <c r="N2" s="10" t="s">
        <v>144</v>
      </c>
      <c r="O2" s="10" t="s">
        <v>145</v>
      </c>
      <c r="P2" s="10" t="s">
        <v>146</v>
      </c>
      <c r="Q2" s="10" t="s">
        <v>147</v>
      </c>
      <c r="R2" s="10" t="s">
        <v>148</v>
      </c>
      <c r="S2" s="10" t="s">
        <v>149</v>
      </c>
      <c r="T2" s="10" t="s">
        <v>150</v>
      </c>
      <c r="U2" s="10" t="s">
        <v>151</v>
      </c>
    </row>
    <row r="3" s="2" customFormat="1" ht="300" customHeight="1" spans="1:23">
      <c r="A3" s="11">
        <v>1</v>
      </c>
      <c r="B3" s="11" t="s">
        <v>4</v>
      </c>
      <c r="C3" s="11" t="s">
        <v>152</v>
      </c>
      <c r="D3" s="11" t="s">
        <v>153</v>
      </c>
      <c r="E3" s="11" t="s">
        <v>154</v>
      </c>
      <c r="F3" s="11" t="s">
        <v>155</v>
      </c>
      <c r="G3" s="16">
        <v>8</v>
      </c>
      <c r="H3" s="11" t="s">
        <v>156</v>
      </c>
      <c r="I3" s="27" t="s">
        <v>157</v>
      </c>
      <c r="J3" s="28">
        <v>0</v>
      </c>
      <c r="K3" s="19" t="s">
        <v>158</v>
      </c>
      <c r="L3" s="16">
        <v>3.61290322580645</v>
      </c>
      <c r="M3" s="28">
        <v>3.61290322580645</v>
      </c>
      <c r="N3" s="28">
        <v>147.46</v>
      </c>
      <c r="O3" s="28">
        <v>60</v>
      </c>
      <c r="P3" s="33">
        <v>1734.1935483871</v>
      </c>
      <c r="Q3" s="37">
        <v>1734</v>
      </c>
      <c r="R3" s="38" t="s">
        <v>159</v>
      </c>
      <c r="S3" s="38" t="s">
        <v>160</v>
      </c>
      <c r="T3" s="38" t="s">
        <v>159</v>
      </c>
      <c r="U3" s="38" t="s">
        <v>161</v>
      </c>
      <c r="V3" s="2">
        <f t="shared" ref="V3:V66" si="0">L3*O3*G3</f>
        <v>1734.1935483871</v>
      </c>
      <c r="W3" s="73">
        <f t="shared" ref="W3:W66" si="1">V3-P3</f>
        <v>-3.86535248253495e-12</v>
      </c>
    </row>
    <row r="4" s="2" customFormat="1" ht="150" customHeight="1" spans="1:23">
      <c r="A4" s="11">
        <v>2</v>
      </c>
      <c r="B4" s="11" t="s">
        <v>5</v>
      </c>
      <c r="C4" s="12" t="s">
        <v>162</v>
      </c>
      <c r="D4" s="13" t="s">
        <v>163</v>
      </c>
      <c r="E4" s="17" t="s">
        <v>154</v>
      </c>
      <c r="F4" s="11" t="s">
        <v>164</v>
      </c>
      <c r="G4" s="16">
        <v>10</v>
      </c>
      <c r="H4" s="11" t="s">
        <v>165</v>
      </c>
      <c r="I4" s="27" t="s">
        <v>157</v>
      </c>
      <c r="J4" s="28">
        <v>0</v>
      </c>
      <c r="K4" s="19" t="s">
        <v>165</v>
      </c>
      <c r="L4" s="16">
        <v>12</v>
      </c>
      <c r="M4" s="28">
        <v>18.1935483870968</v>
      </c>
      <c r="N4" s="28">
        <v>109</v>
      </c>
      <c r="O4" s="28">
        <f>N4*0.5</f>
        <v>54.5</v>
      </c>
      <c r="P4" s="33">
        <v>6540</v>
      </c>
      <c r="Q4" s="37">
        <v>9915</v>
      </c>
      <c r="R4" s="38" t="s">
        <v>166</v>
      </c>
      <c r="S4" s="38" t="s">
        <v>167</v>
      </c>
      <c r="T4" s="38" t="s">
        <v>166</v>
      </c>
      <c r="U4" s="38" t="s">
        <v>168</v>
      </c>
      <c r="V4" s="2">
        <f t="shared" si="0"/>
        <v>6540</v>
      </c>
      <c r="W4" s="73">
        <f t="shared" si="1"/>
        <v>0</v>
      </c>
    </row>
    <row r="5" s="2" customFormat="1" ht="150" customHeight="1" spans="1:23">
      <c r="A5" s="11"/>
      <c r="B5" s="11"/>
      <c r="C5" s="12"/>
      <c r="D5" s="13"/>
      <c r="E5" s="18"/>
      <c r="F5" s="11" t="s">
        <v>169</v>
      </c>
      <c r="G5" s="16">
        <v>10</v>
      </c>
      <c r="H5" s="11" t="s">
        <v>170</v>
      </c>
      <c r="I5" s="27"/>
      <c r="J5" s="28"/>
      <c r="K5" s="19" t="s">
        <v>171</v>
      </c>
      <c r="L5" s="16">
        <v>6.19354838709677</v>
      </c>
      <c r="M5" s="28"/>
      <c r="N5" s="28">
        <v>109</v>
      </c>
      <c r="O5" s="28">
        <f>N5*0.5</f>
        <v>54.5</v>
      </c>
      <c r="P5" s="33">
        <v>3375.48387096774</v>
      </c>
      <c r="Q5" s="37"/>
      <c r="R5" s="38"/>
      <c r="S5" s="38"/>
      <c r="T5" s="38"/>
      <c r="U5" s="38"/>
      <c r="V5" s="2">
        <f t="shared" si="0"/>
        <v>3375.48387096774</v>
      </c>
      <c r="W5" s="73">
        <f t="shared" si="1"/>
        <v>0</v>
      </c>
    </row>
    <row r="6" s="2" customFormat="1" ht="150" customHeight="1" spans="1:23">
      <c r="A6" s="11">
        <v>3</v>
      </c>
      <c r="B6" s="11" t="s">
        <v>6</v>
      </c>
      <c r="C6" s="11" t="s">
        <v>172</v>
      </c>
      <c r="D6" s="13" t="s">
        <v>173</v>
      </c>
      <c r="E6" s="17" t="s">
        <v>154</v>
      </c>
      <c r="F6" s="11" t="s">
        <v>174</v>
      </c>
      <c r="G6" s="16">
        <v>90</v>
      </c>
      <c r="H6" s="11" t="s">
        <v>175</v>
      </c>
      <c r="I6" s="27" t="s">
        <v>157</v>
      </c>
      <c r="J6" s="28">
        <v>0</v>
      </c>
      <c r="K6" s="19" t="s">
        <v>175</v>
      </c>
      <c r="L6" s="16">
        <v>12</v>
      </c>
      <c r="M6" s="28">
        <v>19.3666666666667</v>
      </c>
      <c r="N6" s="28">
        <v>209.844444444444</v>
      </c>
      <c r="O6" s="28">
        <v>60</v>
      </c>
      <c r="P6" s="33">
        <v>64800</v>
      </c>
      <c r="Q6" s="62">
        <f>P6</f>
        <v>64800</v>
      </c>
      <c r="R6" s="38" t="s">
        <v>176</v>
      </c>
      <c r="S6" s="38" t="s">
        <v>177</v>
      </c>
      <c r="T6" s="38" t="s">
        <v>176</v>
      </c>
      <c r="U6" s="38" t="s">
        <v>178</v>
      </c>
      <c r="V6" s="2">
        <f t="shared" si="0"/>
        <v>64800</v>
      </c>
      <c r="W6" s="73">
        <f t="shared" si="1"/>
        <v>0</v>
      </c>
    </row>
    <row r="7" s="2" customFormat="1" ht="150" customHeight="1" spans="1:23">
      <c r="A7" s="11">
        <v>4</v>
      </c>
      <c r="B7" s="11" t="s">
        <v>7</v>
      </c>
      <c r="C7" s="12" t="s">
        <v>179</v>
      </c>
      <c r="D7" s="13" t="s">
        <v>180</v>
      </c>
      <c r="E7" s="17" t="s">
        <v>154</v>
      </c>
      <c r="F7" s="11" t="s">
        <v>181</v>
      </c>
      <c r="G7" s="16">
        <v>40</v>
      </c>
      <c r="H7" s="11" t="s">
        <v>182</v>
      </c>
      <c r="I7" s="27" t="s">
        <v>157</v>
      </c>
      <c r="J7" s="28">
        <v>0</v>
      </c>
      <c r="K7" s="19" t="s">
        <v>183</v>
      </c>
      <c r="L7" s="16">
        <v>6</v>
      </c>
      <c r="M7" s="28">
        <v>13.5333333333333</v>
      </c>
      <c r="N7" s="28">
        <v>210</v>
      </c>
      <c r="O7" s="28">
        <v>60</v>
      </c>
      <c r="P7" s="33">
        <v>14400</v>
      </c>
      <c r="Q7" s="37">
        <v>16660</v>
      </c>
      <c r="R7" s="38" t="s">
        <v>184</v>
      </c>
      <c r="S7" s="38" t="s">
        <v>185</v>
      </c>
      <c r="T7" s="38" t="s">
        <v>184</v>
      </c>
      <c r="U7" s="38" t="s">
        <v>186</v>
      </c>
      <c r="V7" s="2">
        <f t="shared" si="0"/>
        <v>14400</v>
      </c>
      <c r="W7" s="73">
        <f t="shared" si="1"/>
        <v>0</v>
      </c>
    </row>
    <row r="8" s="2" customFormat="1" ht="150" customHeight="1" spans="1:23">
      <c r="A8" s="11"/>
      <c r="B8" s="11"/>
      <c r="C8" s="12"/>
      <c r="D8" s="13"/>
      <c r="E8" s="18"/>
      <c r="F8" s="11" t="s">
        <v>187</v>
      </c>
      <c r="G8" s="16">
        <v>5</v>
      </c>
      <c r="H8" s="11" t="s">
        <v>188</v>
      </c>
      <c r="I8" s="27"/>
      <c r="J8" s="28"/>
      <c r="K8" s="19" t="s">
        <v>189</v>
      </c>
      <c r="L8" s="16">
        <v>7.53333333333333</v>
      </c>
      <c r="M8" s="28"/>
      <c r="N8" s="28">
        <v>280</v>
      </c>
      <c r="O8" s="28">
        <v>60</v>
      </c>
      <c r="P8" s="33">
        <v>2260</v>
      </c>
      <c r="Q8" s="37"/>
      <c r="R8" s="38"/>
      <c r="S8" s="38"/>
      <c r="T8" s="38"/>
      <c r="U8" s="38"/>
      <c r="V8" s="2">
        <f t="shared" si="0"/>
        <v>2260</v>
      </c>
      <c r="W8" s="73">
        <f t="shared" si="1"/>
        <v>0</v>
      </c>
    </row>
    <row r="9" s="2" customFormat="1" ht="300" customHeight="1" spans="1:23">
      <c r="A9" s="11">
        <v>5</v>
      </c>
      <c r="B9" s="11" t="s">
        <v>8</v>
      </c>
      <c r="C9" s="12" t="s">
        <v>190</v>
      </c>
      <c r="D9" s="13" t="s">
        <v>191</v>
      </c>
      <c r="E9" s="13" t="s">
        <v>154</v>
      </c>
      <c r="F9" s="11" t="s">
        <v>192</v>
      </c>
      <c r="G9" s="16">
        <v>10</v>
      </c>
      <c r="H9" s="11" t="s">
        <v>193</v>
      </c>
      <c r="I9" s="27" t="s">
        <v>157</v>
      </c>
      <c r="J9" s="28">
        <v>0</v>
      </c>
      <c r="K9" s="19" t="s">
        <v>194</v>
      </c>
      <c r="L9" s="16">
        <v>10.9677419354839</v>
      </c>
      <c r="M9" s="28">
        <v>10.9677419354839</v>
      </c>
      <c r="N9" s="28">
        <v>150</v>
      </c>
      <c r="O9" s="28">
        <v>60</v>
      </c>
      <c r="P9" s="33">
        <v>6580.64516129032</v>
      </c>
      <c r="Q9" s="37">
        <v>6580</v>
      </c>
      <c r="R9" s="38" t="s">
        <v>195</v>
      </c>
      <c r="S9" s="38" t="s">
        <v>196</v>
      </c>
      <c r="T9" s="38" t="s">
        <v>195</v>
      </c>
      <c r="U9" s="38" t="s">
        <v>197</v>
      </c>
      <c r="V9" s="2">
        <f t="shared" si="0"/>
        <v>6580.64516129034</v>
      </c>
      <c r="W9" s="73">
        <f t="shared" si="1"/>
        <v>2.00088834390044e-11</v>
      </c>
    </row>
    <row r="10" s="2" customFormat="1" ht="150" customHeight="1" spans="1:23">
      <c r="A10" s="11">
        <v>6</v>
      </c>
      <c r="B10" s="11" t="s">
        <v>9</v>
      </c>
      <c r="C10" s="12" t="s">
        <v>198</v>
      </c>
      <c r="D10" s="13" t="s">
        <v>199</v>
      </c>
      <c r="E10" s="17" t="s">
        <v>154</v>
      </c>
      <c r="F10" s="11" t="s">
        <v>200</v>
      </c>
      <c r="G10" s="16">
        <v>21</v>
      </c>
      <c r="H10" s="11" t="s">
        <v>201</v>
      </c>
      <c r="I10" s="27" t="s">
        <v>157</v>
      </c>
      <c r="J10" s="28">
        <v>0</v>
      </c>
      <c r="K10" s="19" t="s">
        <v>201</v>
      </c>
      <c r="L10" s="16">
        <v>6.1494623655914</v>
      </c>
      <c r="M10" s="28">
        <v>12.6333333333333</v>
      </c>
      <c r="N10" s="28">
        <v>87.42</v>
      </c>
      <c r="O10" s="28">
        <f>N10*0.5</f>
        <v>43.71</v>
      </c>
      <c r="P10" s="33">
        <v>5644.653</v>
      </c>
      <c r="Q10" s="37">
        <v>11774</v>
      </c>
      <c r="R10" s="38" t="s">
        <v>202</v>
      </c>
      <c r="S10" s="38" t="s">
        <v>203</v>
      </c>
      <c r="T10" s="38" t="s">
        <v>202</v>
      </c>
      <c r="U10" s="38" t="s">
        <v>204</v>
      </c>
      <c r="V10" s="2">
        <f t="shared" si="0"/>
        <v>5644.653</v>
      </c>
      <c r="W10" s="73">
        <f t="shared" si="1"/>
        <v>0</v>
      </c>
    </row>
    <row r="11" s="2" customFormat="1" ht="150" customHeight="1" spans="1:23">
      <c r="A11" s="11"/>
      <c r="B11" s="11"/>
      <c r="C11" s="12"/>
      <c r="D11" s="13"/>
      <c r="E11" s="18"/>
      <c r="F11" s="11" t="s">
        <v>200</v>
      </c>
      <c r="G11" s="16">
        <v>21</v>
      </c>
      <c r="H11" s="11" t="s">
        <v>205</v>
      </c>
      <c r="I11" s="27"/>
      <c r="J11" s="28"/>
      <c r="K11" s="19" t="s">
        <v>206</v>
      </c>
      <c r="L11" s="16">
        <v>6.48387096774194</v>
      </c>
      <c r="M11" s="28"/>
      <c r="N11" s="28">
        <v>90.04</v>
      </c>
      <c r="O11" s="28">
        <f>N11*0.5</f>
        <v>45.02</v>
      </c>
      <c r="P11" s="33">
        <v>6129.98129032258</v>
      </c>
      <c r="Q11" s="37"/>
      <c r="R11" s="38"/>
      <c r="S11" s="38"/>
      <c r="T11" s="38"/>
      <c r="U11" s="38"/>
      <c r="V11" s="2">
        <f t="shared" si="0"/>
        <v>6129.98129032259</v>
      </c>
      <c r="W11" s="73">
        <f t="shared" si="1"/>
        <v>0</v>
      </c>
    </row>
    <row r="12" s="2" customFormat="1" ht="150" customHeight="1" spans="1:23">
      <c r="A12" s="11">
        <v>7</v>
      </c>
      <c r="B12" s="11" t="s">
        <v>10</v>
      </c>
      <c r="C12" s="12" t="s">
        <v>207</v>
      </c>
      <c r="D12" s="13" t="s">
        <v>208</v>
      </c>
      <c r="E12" s="17" t="s">
        <v>154</v>
      </c>
      <c r="F12" s="11" t="s">
        <v>209</v>
      </c>
      <c r="G12" s="16">
        <v>5</v>
      </c>
      <c r="H12" s="11" t="s">
        <v>210</v>
      </c>
      <c r="I12" s="27" t="s">
        <v>157</v>
      </c>
      <c r="J12" s="28">
        <v>0</v>
      </c>
      <c r="K12" s="19" t="s">
        <v>210</v>
      </c>
      <c r="L12" s="16">
        <v>12</v>
      </c>
      <c r="M12" s="28">
        <v>16.3448275862069</v>
      </c>
      <c r="N12" s="28">
        <v>233.55</v>
      </c>
      <c r="O12" s="28">
        <v>60</v>
      </c>
      <c r="P12" s="33">
        <v>3600</v>
      </c>
      <c r="Q12" s="37">
        <v>4903</v>
      </c>
      <c r="R12" s="38" t="s">
        <v>211</v>
      </c>
      <c r="S12" s="38" t="s">
        <v>212</v>
      </c>
      <c r="T12" s="38" t="s">
        <v>211</v>
      </c>
      <c r="U12" s="38" t="s">
        <v>213</v>
      </c>
      <c r="V12" s="2">
        <f t="shared" si="0"/>
        <v>3600</v>
      </c>
      <c r="W12" s="73">
        <f t="shared" si="1"/>
        <v>0</v>
      </c>
    </row>
    <row r="13" s="2" customFormat="1" ht="150" customHeight="1" spans="1:23">
      <c r="A13" s="11"/>
      <c r="B13" s="11"/>
      <c r="C13" s="12"/>
      <c r="D13" s="13"/>
      <c r="E13" s="18"/>
      <c r="F13" s="11" t="s">
        <v>214</v>
      </c>
      <c r="G13" s="16">
        <v>5</v>
      </c>
      <c r="H13" s="11" t="s">
        <v>215</v>
      </c>
      <c r="I13" s="27"/>
      <c r="J13" s="28"/>
      <c r="K13" s="19" t="s">
        <v>216</v>
      </c>
      <c r="L13" s="16">
        <v>4.3448275862069</v>
      </c>
      <c r="M13" s="28"/>
      <c r="N13" s="28">
        <v>218</v>
      </c>
      <c r="O13" s="28">
        <v>60</v>
      </c>
      <c r="P13" s="33">
        <v>1303.44827586207</v>
      </c>
      <c r="Q13" s="37"/>
      <c r="R13" s="38"/>
      <c r="S13" s="38"/>
      <c r="T13" s="38"/>
      <c r="U13" s="38"/>
      <c r="V13" s="2">
        <f t="shared" si="0"/>
        <v>1303.44827586207</v>
      </c>
      <c r="W13" s="73">
        <f t="shared" si="1"/>
        <v>0</v>
      </c>
    </row>
    <row r="14" s="2" customFormat="1" ht="100.05" customHeight="1" spans="1:23">
      <c r="A14" s="11">
        <v>8</v>
      </c>
      <c r="B14" s="14" t="s">
        <v>11</v>
      </c>
      <c r="C14" s="14" t="s">
        <v>217</v>
      </c>
      <c r="D14" s="14" t="s">
        <v>218</v>
      </c>
      <c r="E14" s="17" t="s">
        <v>154</v>
      </c>
      <c r="F14" s="14" t="s">
        <v>219</v>
      </c>
      <c r="G14" s="19">
        <v>60</v>
      </c>
      <c r="H14" s="11" t="s">
        <v>182</v>
      </c>
      <c r="I14" s="27" t="s">
        <v>220</v>
      </c>
      <c r="J14" s="28">
        <v>7.53333333333333</v>
      </c>
      <c r="K14" s="19" t="s">
        <v>221</v>
      </c>
      <c r="L14" s="16">
        <v>4.46666666666667</v>
      </c>
      <c r="M14" s="28">
        <v>19.5333333333333</v>
      </c>
      <c r="N14" s="28">
        <v>120</v>
      </c>
      <c r="O14" s="28">
        <v>60</v>
      </c>
      <c r="P14" s="33">
        <v>16080</v>
      </c>
      <c r="Q14" s="37">
        <v>44400</v>
      </c>
      <c r="R14" s="38" t="s">
        <v>222</v>
      </c>
      <c r="S14" s="38" t="s">
        <v>223</v>
      </c>
      <c r="T14" s="38" t="s">
        <v>222</v>
      </c>
      <c r="U14" s="38" t="s">
        <v>224</v>
      </c>
      <c r="V14" s="2">
        <f t="shared" si="0"/>
        <v>16080</v>
      </c>
      <c r="W14" s="73">
        <f t="shared" si="1"/>
        <v>1.45519152283669e-11</v>
      </c>
    </row>
    <row r="15" s="2" customFormat="1" ht="100.05" customHeight="1" spans="1:23">
      <c r="A15" s="11"/>
      <c r="B15" s="14"/>
      <c r="C15" s="14"/>
      <c r="D15" s="14"/>
      <c r="E15" s="20"/>
      <c r="F15" s="14" t="s">
        <v>225</v>
      </c>
      <c r="G15" s="19">
        <v>60</v>
      </c>
      <c r="H15" s="11" t="s">
        <v>188</v>
      </c>
      <c r="I15" s="27"/>
      <c r="J15" s="28"/>
      <c r="K15" s="19" t="s">
        <v>189</v>
      </c>
      <c r="L15" s="16">
        <v>5.53333333333333</v>
      </c>
      <c r="M15" s="28"/>
      <c r="N15" s="28">
        <v>150</v>
      </c>
      <c r="O15" s="28">
        <v>60</v>
      </c>
      <c r="P15" s="33">
        <v>19920</v>
      </c>
      <c r="Q15" s="37"/>
      <c r="R15" s="38"/>
      <c r="S15" s="38"/>
      <c r="T15" s="38"/>
      <c r="U15" s="38"/>
      <c r="V15" s="2">
        <f t="shared" si="0"/>
        <v>19920</v>
      </c>
      <c r="W15" s="73">
        <f t="shared" si="1"/>
        <v>0</v>
      </c>
    </row>
    <row r="16" s="2" customFormat="1" ht="100.05" customHeight="1" spans="1:23">
      <c r="A16" s="11"/>
      <c r="B16" s="14"/>
      <c r="C16" s="14"/>
      <c r="D16" s="14"/>
      <c r="E16" s="18"/>
      <c r="F16" s="14" t="s">
        <v>226</v>
      </c>
      <c r="G16" s="19">
        <v>70</v>
      </c>
      <c r="H16" s="11" t="s">
        <v>227</v>
      </c>
      <c r="I16" s="27"/>
      <c r="J16" s="28"/>
      <c r="K16" s="19" t="s">
        <v>228</v>
      </c>
      <c r="L16" s="16">
        <v>2</v>
      </c>
      <c r="M16" s="28"/>
      <c r="N16" s="28">
        <v>120</v>
      </c>
      <c r="O16" s="28">
        <v>60</v>
      </c>
      <c r="P16" s="33">
        <v>8400</v>
      </c>
      <c r="Q16" s="37"/>
      <c r="R16" s="38"/>
      <c r="S16" s="38"/>
      <c r="T16" s="38"/>
      <c r="U16" s="38"/>
      <c r="V16" s="2">
        <f t="shared" si="0"/>
        <v>8400</v>
      </c>
      <c r="W16" s="73">
        <f t="shared" si="1"/>
        <v>0</v>
      </c>
    </row>
    <row r="17" s="2" customFormat="1" ht="300" customHeight="1" spans="1:23">
      <c r="A17" s="11">
        <v>9</v>
      </c>
      <c r="B17" s="14" t="s">
        <v>12</v>
      </c>
      <c r="C17" s="14" t="s">
        <v>229</v>
      </c>
      <c r="D17" s="14" t="s">
        <v>230</v>
      </c>
      <c r="E17" s="13" t="s">
        <v>154</v>
      </c>
      <c r="F17" s="14" t="s">
        <v>231</v>
      </c>
      <c r="G17" s="19">
        <v>810.26</v>
      </c>
      <c r="H17" s="11" t="s">
        <v>232</v>
      </c>
      <c r="I17" s="27" t="s">
        <v>157</v>
      </c>
      <c r="J17" s="28">
        <v>0</v>
      </c>
      <c r="K17" s="19" t="s">
        <v>233</v>
      </c>
      <c r="L17" s="16">
        <v>7.2</v>
      </c>
      <c r="M17" s="28">
        <v>7.2</v>
      </c>
      <c r="N17" s="28">
        <v>82</v>
      </c>
      <c r="O17" s="28">
        <f t="shared" ref="O17:O21" si="2">N17*0.5</f>
        <v>41</v>
      </c>
      <c r="P17" s="33">
        <v>239188.752</v>
      </c>
      <c r="Q17" s="37">
        <v>239188</v>
      </c>
      <c r="R17" s="38" t="s">
        <v>234</v>
      </c>
      <c r="S17" s="38" t="s">
        <v>235</v>
      </c>
      <c r="T17" s="38" t="s">
        <v>234</v>
      </c>
      <c r="U17" s="38" t="s">
        <v>236</v>
      </c>
      <c r="V17" s="2">
        <f t="shared" si="0"/>
        <v>239188.752</v>
      </c>
      <c r="W17" s="73">
        <f t="shared" si="1"/>
        <v>0</v>
      </c>
    </row>
    <row r="18" s="2" customFormat="1" ht="150" customHeight="1" spans="1:23">
      <c r="A18" s="11">
        <v>10</v>
      </c>
      <c r="B18" s="14" t="s">
        <v>13</v>
      </c>
      <c r="C18" s="14" t="s">
        <v>237</v>
      </c>
      <c r="D18" s="14" t="s">
        <v>238</v>
      </c>
      <c r="E18" s="17" t="s">
        <v>154</v>
      </c>
      <c r="F18" s="14" t="s">
        <v>237</v>
      </c>
      <c r="G18" s="19">
        <v>270</v>
      </c>
      <c r="H18" s="11" t="s">
        <v>239</v>
      </c>
      <c r="I18" s="27" t="s">
        <v>157</v>
      </c>
      <c r="J18" s="29">
        <v>0</v>
      </c>
      <c r="K18" s="19" t="s">
        <v>240</v>
      </c>
      <c r="L18" s="16">
        <v>4.51612903225806</v>
      </c>
      <c r="M18" s="28">
        <v>11</v>
      </c>
      <c r="N18" s="28">
        <v>110.25</v>
      </c>
      <c r="O18" s="28">
        <f t="shared" si="2"/>
        <v>55.125</v>
      </c>
      <c r="P18" s="33">
        <v>67216.935483871</v>
      </c>
      <c r="Q18" s="37">
        <v>187954</v>
      </c>
      <c r="R18" s="38" t="s">
        <v>241</v>
      </c>
      <c r="S18" s="38" t="s">
        <v>242</v>
      </c>
      <c r="T18" s="38" t="s">
        <v>241</v>
      </c>
      <c r="U18" s="38" t="s">
        <v>243</v>
      </c>
      <c r="V18" s="2">
        <f t="shared" si="0"/>
        <v>67216.9354838709</v>
      </c>
      <c r="W18" s="73">
        <f t="shared" si="1"/>
        <v>0</v>
      </c>
    </row>
    <row r="19" s="2" customFormat="1" ht="150" customHeight="1" spans="1:23">
      <c r="A19" s="11"/>
      <c r="B19" s="14"/>
      <c r="C19" s="14"/>
      <c r="D19" s="14"/>
      <c r="E19" s="18"/>
      <c r="F19" s="14" t="s">
        <v>237</v>
      </c>
      <c r="G19" s="19">
        <v>337.8</v>
      </c>
      <c r="H19" s="11" t="s">
        <v>244</v>
      </c>
      <c r="I19" s="27"/>
      <c r="J19" s="30"/>
      <c r="K19" s="19" t="s">
        <v>206</v>
      </c>
      <c r="L19" s="16">
        <v>6.48387096774194</v>
      </c>
      <c r="M19" s="28"/>
      <c r="N19" s="28">
        <v>110.25</v>
      </c>
      <c r="O19" s="28">
        <f t="shared" si="2"/>
        <v>55.125</v>
      </c>
      <c r="P19" s="33">
        <v>120737.62016129</v>
      </c>
      <c r="Q19" s="37"/>
      <c r="R19" s="38"/>
      <c r="S19" s="38"/>
      <c r="T19" s="38"/>
      <c r="U19" s="38"/>
      <c r="V19" s="2">
        <f t="shared" si="0"/>
        <v>120737.62016129</v>
      </c>
      <c r="W19" s="73">
        <f t="shared" si="1"/>
        <v>4.22005541622639e-10</v>
      </c>
    </row>
    <row r="20" s="2" customFormat="1" ht="150" customHeight="1" spans="1:23">
      <c r="A20" s="11">
        <v>11</v>
      </c>
      <c r="B20" s="14" t="s">
        <v>14</v>
      </c>
      <c r="C20" s="14" t="s">
        <v>245</v>
      </c>
      <c r="D20" s="14" t="s">
        <v>246</v>
      </c>
      <c r="E20" s="21" t="s">
        <v>154</v>
      </c>
      <c r="F20" s="14" t="s">
        <v>247</v>
      </c>
      <c r="G20" s="19">
        <v>8.5</v>
      </c>
      <c r="H20" s="11" t="s">
        <v>248</v>
      </c>
      <c r="I20" s="27" t="s">
        <v>157</v>
      </c>
      <c r="J20" s="28">
        <v>0</v>
      </c>
      <c r="K20" s="19" t="s">
        <v>249</v>
      </c>
      <c r="L20" s="16">
        <v>8.29032258064516</v>
      </c>
      <c r="M20" s="28">
        <v>12</v>
      </c>
      <c r="N20" s="28">
        <v>117.647058823529</v>
      </c>
      <c r="O20" s="28">
        <f t="shared" si="2"/>
        <v>58.8235294117645</v>
      </c>
      <c r="P20" s="33">
        <v>4145.16129032258</v>
      </c>
      <c r="Q20" s="37">
        <v>6000</v>
      </c>
      <c r="R20" s="38" t="s">
        <v>250</v>
      </c>
      <c r="S20" s="38" t="s">
        <v>251</v>
      </c>
      <c r="T20" s="38" t="s">
        <v>250</v>
      </c>
      <c r="U20" s="38" t="s">
        <v>252</v>
      </c>
      <c r="V20" s="2">
        <f t="shared" si="0"/>
        <v>4145.16129032257</v>
      </c>
      <c r="W20" s="73">
        <f t="shared" si="1"/>
        <v>-1.45519152283669e-11</v>
      </c>
    </row>
    <row r="21" s="2" customFormat="1" ht="150" customHeight="1" spans="1:23">
      <c r="A21" s="11"/>
      <c r="B21" s="14"/>
      <c r="C21" s="14"/>
      <c r="D21" s="14"/>
      <c r="E21" s="22"/>
      <c r="F21" s="14" t="s">
        <v>247</v>
      </c>
      <c r="G21" s="19">
        <v>8.5</v>
      </c>
      <c r="H21" s="11" t="s">
        <v>253</v>
      </c>
      <c r="I21" s="27"/>
      <c r="J21" s="28"/>
      <c r="K21" s="19" t="s">
        <v>254</v>
      </c>
      <c r="L21" s="16">
        <v>3.70967741935484</v>
      </c>
      <c r="M21" s="28"/>
      <c r="N21" s="28">
        <v>117.647058823529</v>
      </c>
      <c r="O21" s="28">
        <f t="shared" si="2"/>
        <v>58.8235294117645</v>
      </c>
      <c r="P21" s="33">
        <v>1854.83870967742</v>
      </c>
      <c r="Q21" s="37"/>
      <c r="R21" s="38"/>
      <c r="S21" s="38"/>
      <c r="T21" s="38"/>
      <c r="U21" s="38"/>
      <c r="V21" s="2">
        <f t="shared" si="0"/>
        <v>1854.83870967741</v>
      </c>
      <c r="W21" s="73">
        <f t="shared" si="1"/>
        <v>-6.59383658785373e-12</v>
      </c>
    </row>
    <row r="22" s="2" customFormat="1" ht="300" customHeight="1" spans="1:23">
      <c r="A22" s="11">
        <v>12</v>
      </c>
      <c r="B22" s="14" t="s">
        <v>15</v>
      </c>
      <c r="C22" s="14" t="s">
        <v>255</v>
      </c>
      <c r="D22" s="11" t="s">
        <v>256</v>
      </c>
      <c r="E22" s="13" t="s">
        <v>154</v>
      </c>
      <c r="F22" s="14" t="s">
        <v>255</v>
      </c>
      <c r="G22" s="19">
        <v>8.5</v>
      </c>
      <c r="H22" s="11" t="s">
        <v>257</v>
      </c>
      <c r="I22" s="27" t="s">
        <v>157</v>
      </c>
      <c r="J22" s="28">
        <v>0</v>
      </c>
      <c r="K22" s="19" t="s">
        <v>206</v>
      </c>
      <c r="L22" s="16">
        <v>6.48387096774194</v>
      </c>
      <c r="M22" s="28">
        <v>6.48387096774194</v>
      </c>
      <c r="N22" s="28">
        <v>176.470588235294</v>
      </c>
      <c r="O22" s="28">
        <v>60</v>
      </c>
      <c r="P22" s="33">
        <v>3306.77419354839</v>
      </c>
      <c r="Q22" s="37">
        <v>3306</v>
      </c>
      <c r="R22" s="38" t="s">
        <v>258</v>
      </c>
      <c r="S22" s="38" t="s">
        <v>259</v>
      </c>
      <c r="T22" s="38" t="s">
        <v>258</v>
      </c>
      <c r="U22" s="38" t="s">
        <v>260</v>
      </c>
      <c r="V22" s="2">
        <f t="shared" si="0"/>
        <v>3306.77419354839</v>
      </c>
      <c r="W22" s="73">
        <f t="shared" si="1"/>
        <v>0</v>
      </c>
    </row>
    <row r="23" s="2" customFormat="1" ht="150" customHeight="1" spans="1:23">
      <c r="A23" s="11">
        <v>13</v>
      </c>
      <c r="B23" s="14" t="s">
        <v>16</v>
      </c>
      <c r="C23" s="14" t="s">
        <v>261</v>
      </c>
      <c r="D23" s="14" t="s">
        <v>262</v>
      </c>
      <c r="E23" s="21" t="s">
        <v>154</v>
      </c>
      <c r="F23" s="14" t="s">
        <v>263</v>
      </c>
      <c r="G23" s="19">
        <v>150</v>
      </c>
      <c r="H23" s="11" t="s">
        <v>264</v>
      </c>
      <c r="I23" s="27" t="s">
        <v>220</v>
      </c>
      <c r="J23" s="29">
        <v>9</v>
      </c>
      <c r="K23" s="19" t="s">
        <v>265</v>
      </c>
      <c r="L23" s="16">
        <v>4</v>
      </c>
      <c r="M23" s="28">
        <v>21</v>
      </c>
      <c r="N23" s="28">
        <v>120</v>
      </c>
      <c r="O23" s="28">
        <v>60</v>
      </c>
      <c r="P23" s="33">
        <v>36000</v>
      </c>
      <c r="Q23" s="37">
        <v>96300</v>
      </c>
      <c r="R23" s="38" t="s">
        <v>266</v>
      </c>
      <c r="S23" s="38" t="s">
        <v>267</v>
      </c>
      <c r="T23" s="38" t="s">
        <v>266</v>
      </c>
      <c r="U23" s="38" t="s">
        <v>268</v>
      </c>
      <c r="V23" s="2">
        <f t="shared" si="0"/>
        <v>36000</v>
      </c>
      <c r="W23" s="73">
        <f t="shared" si="1"/>
        <v>0</v>
      </c>
    </row>
    <row r="24" s="2" customFormat="1" ht="150" customHeight="1" spans="1:23">
      <c r="A24" s="11"/>
      <c r="B24" s="14"/>
      <c r="C24" s="14"/>
      <c r="D24" s="14"/>
      <c r="E24" s="23"/>
      <c r="F24" s="14" t="s">
        <v>263</v>
      </c>
      <c r="G24" s="19">
        <v>150</v>
      </c>
      <c r="H24" s="11" t="s">
        <v>264</v>
      </c>
      <c r="I24" s="27"/>
      <c r="J24" s="31"/>
      <c r="K24" s="19" t="s">
        <v>269</v>
      </c>
      <c r="L24" s="16">
        <v>2</v>
      </c>
      <c r="M24" s="28"/>
      <c r="N24" s="28">
        <v>96</v>
      </c>
      <c r="O24" s="28">
        <f>N24*0.5</f>
        <v>48</v>
      </c>
      <c r="P24" s="33">
        <v>14400</v>
      </c>
      <c r="Q24" s="37"/>
      <c r="R24" s="38"/>
      <c r="S24" s="38"/>
      <c r="T24" s="38"/>
      <c r="U24" s="38"/>
      <c r="V24" s="2">
        <f t="shared" si="0"/>
        <v>14400</v>
      </c>
      <c r="W24" s="73">
        <f t="shared" si="1"/>
        <v>0</v>
      </c>
    </row>
    <row r="25" s="2" customFormat="1" ht="150" customHeight="1" spans="1:23">
      <c r="A25" s="11"/>
      <c r="B25" s="14"/>
      <c r="C25" s="14"/>
      <c r="D25" s="14"/>
      <c r="E25" s="23"/>
      <c r="F25" s="14" t="s">
        <v>263</v>
      </c>
      <c r="G25" s="19">
        <v>150</v>
      </c>
      <c r="H25" s="11" t="s">
        <v>270</v>
      </c>
      <c r="I25" s="27"/>
      <c r="J25" s="31"/>
      <c r="K25" s="19" t="s">
        <v>270</v>
      </c>
      <c r="L25" s="16">
        <v>3</v>
      </c>
      <c r="M25" s="28"/>
      <c r="N25" s="28">
        <v>120</v>
      </c>
      <c r="O25" s="28">
        <v>60</v>
      </c>
      <c r="P25" s="33">
        <v>27000</v>
      </c>
      <c r="Q25" s="37"/>
      <c r="R25" s="38"/>
      <c r="S25" s="38"/>
      <c r="T25" s="38"/>
      <c r="U25" s="38"/>
      <c r="V25" s="2">
        <f t="shared" si="0"/>
        <v>27000</v>
      </c>
      <c r="W25" s="73">
        <f t="shared" si="1"/>
        <v>0</v>
      </c>
    </row>
    <row r="26" s="2" customFormat="1" ht="150" customHeight="1" spans="1:23">
      <c r="A26" s="11"/>
      <c r="B26" s="14"/>
      <c r="C26" s="14"/>
      <c r="D26" s="14"/>
      <c r="E26" s="22"/>
      <c r="F26" s="14" t="s">
        <v>271</v>
      </c>
      <c r="G26" s="19">
        <v>105</v>
      </c>
      <c r="H26" s="11" t="s">
        <v>272</v>
      </c>
      <c r="I26" s="27"/>
      <c r="J26" s="30"/>
      <c r="K26" s="19" t="s">
        <v>273</v>
      </c>
      <c r="L26" s="16">
        <v>3</v>
      </c>
      <c r="M26" s="28"/>
      <c r="N26" s="28">
        <v>120</v>
      </c>
      <c r="O26" s="28">
        <v>60</v>
      </c>
      <c r="P26" s="33">
        <v>18900</v>
      </c>
      <c r="Q26" s="37"/>
      <c r="R26" s="38"/>
      <c r="S26" s="38"/>
      <c r="T26" s="38"/>
      <c r="U26" s="38"/>
      <c r="V26" s="2">
        <f t="shared" si="0"/>
        <v>18900</v>
      </c>
      <c r="W26" s="73">
        <f t="shared" si="1"/>
        <v>0</v>
      </c>
    </row>
    <row r="27" s="2" customFormat="1" ht="300" customHeight="1" spans="1:23">
      <c r="A27" s="11">
        <v>14</v>
      </c>
      <c r="B27" s="14" t="s">
        <v>17</v>
      </c>
      <c r="C27" s="14" t="s">
        <v>274</v>
      </c>
      <c r="D27" s="14" t="s">
        <v>275</v>
      </c>
      <c r="E27" s="14" t="s">
        <v>154</v>
      </c>
      <c r="F27" s="14" t="s">
        <v>276</v>
      </c>
      <c r="G27" s="19">
        <v>155</v>
      </c>
      <c r="H27" s="11" t="s">
        <v>277</v>
      </c>
      <c r="I27" s="27" t="s">
        <v>157</v>
      </c>
      <c r="J27" s="28">
        <v>0</v>
      </c>
      <c r="K27" s="19" t="s">
        <v>278</v>
      </c>
      <c r="L27" s="16">
        <v>12</v>
      </c>
      <c r="M27" s="28">
        <v>12</v>
      </c>
      <c r="N27" s="28">
        <v>139</v>
      </c>
      <c r="O27" s="28">
        <v>60</v>
      </c>
      <c r="P27" s="34">
        <v>111600</v>
      </c>
      <c r="Q27" s="37">
        <v>111600</v>
      </c>
      <c r="R27" s="38" t="s">
        <v>279</v>
      </c>
      <c r="S27" s="38" t="s">
        <v>280</v>
      </c>
      <c r="T27" s="38" t="s">
        <v>279</v>
      </c>
      <c r="U27" s="38" t="s">
        <v>281</v>
      </c>
      <c r="V27" s="2">
        <f t="shared" si="0"/>
        <v>111600</v>
      </c>
      <c r="W27" s="73">
        <f t="shared" si="1"/>
        <v>0</v>
      </c>
    </row>
    <row r="28" s="2" customFormat="1" ht="300" customHeight="1" spans="1:23">
      <c r="A28" s="11">
        <v>15</v>
      </c>
      <c r="B28" s="11" t="s">
        <v>18</v>
      </c>
      <c r="C28" s="14" t="s">
        <v>282</v>
      </c>
      <c r="D28" s="14" t="s">
        <v>283</v>
      </c>
      <c r="E28" s="13" t="s">
        <v>154</v>
      </c>
      <c r="F28" s="14" t="s">
        <v>282</v>
      </c>
      <c r="G28" s="16">
        <v>24.46</v>
      </c>
      <c r="H28" s="11" t="s">
        <v>284</v>
      </c>
      <c r="I28" s="27" t="s">
        <v>157</v>
      </c>
      <c r="J28" s="28">
        <v>0</v>
      </c>
      <c r="K28" s="19" t="s">
        <v>285</v>
      </c>
      <c r="L28" s="16">
        <v>8.51612903225806</v>
      </c>
      <c r="M28" s="28">
        <v>8.51612903225806</v>
      </c>
      <c r="N28" s="28">
        <v>107.16</v>
      </c>
      <c r="O28" s="28">
        <f t="shared" ref="O28:O43" si="3">N28*0.5</f>
        <v>53.58</v>
      </c>
      <c r="P28" s="33">
        <v>11160.9559741935</v>
      </c>
      <c r="Q28" s="37">
        <v>11160</v>
      </c>
      <c r="R28" s="38" t="s">
        <v>286</v>
      </c>
      <c r="S28" s="38" t="s">
        <v>287</v>
      </c>
      <c r="T28" s="38" t="s">
        <v>286</v>
      </c>
      <c r="U28" s="38" t="s">
        <v>288</v>
      </c>
      <c r="V28" s="2">
        <f t="shared" si="0"/>
        <v>11160.9559741935</v>
      </c>
      <c r="W28" s="73">
        <f t="shared" si="1"/>
        <v>4.18367562815547e-11</v>
      </c>
    </row>
    <row r="29" s="2" customFormat="1" ht="300" customHeight="1" spans="1:23">
      <c r="A29" s="11">
        <v>16</v>
      </c>
      <c r="B29" s="11" t="s">
        <v>19</v>
      </c>
      <c r="C29" s="14" t="s">
        <v>289</v>
      </c>
      <c r="D29" s="14" t="s">
        <v>290</v>
      </c>
      <c r="E29" s="13" t="s">
        <v>154</v>
      </c>
      <c r="F29" s="14" t="s">
        <v>289</v>
      </c>
      <c r="G29" s="16">
        <v>10</v>
      </c>
      <c r="H29" s="11" t="s">
        <v>291</v>
      </c>
      <c r="I29" s="27" t="s">
        <v>157</v>
      </c>
      <c r="J29" s="28">
        <v>0</v>
      </c>
      <c r="K29" s="19" t="s">
        <v>292</v>
      </c>
      <c r="L29" s="16">
        <v>5.87096774193548</v>
      </c>
      <c r="M29" s="28">
        <v>5.87096774193548</v>
      </c>
      <c r="N29" s="28">
        <v>150</v>
      </c>
      <c r="O29" s="28">
        <v>60</v>
      </c>
      <c r="P29" s="33">
        <v>3522.58064516129</v>
      </c>
      <c r="Q29" s="37">
        <v>3522</v>
      </c>
      <c r="R29" s="38" t="s">
        <v>293</v>
      </c>
      <c r="S29" s="38" t="s">
        <v>294</v>
      </c>
      <c r="T29" s="38" t="s">
        <v>293</v>
      </c>
      <c r="U29" s="38" t="s">
        <v>295</v>
      </c>
      <c r="V29" s="2">
        <f t="shared" si="0"/>
        <v>3522.58064516129</v>
      </c>
      <c r="W29" s="73">
        <f t="shared" si="1"/>
        <v>0</v>
      </c>
    </row>
    <row r="30" s="2" customFormat="1" ht="300" customHeight="1" spans="1:23">
      <c r="A30" s="11">
        <v>17</v>
      </c>
      <c r="B30" s="11" t="s">
        <v>296</v>
      </c>
      <c r="C30" s="14" t="s">
        <v>297</v>
      </c>
      <c r="D30" s="14" t="s">
        <v>298</v>
      </c>
      <c r="E30" s="13" t="s">
        <v>154</v>
      </c>
      <c r="F30" s="14" t="s">
        <v>297</v>
      </c>
      <c r="G30" s="16">
        <v>248</v>
      </c>
      <c r="H30" s="11" t="s">
        <v>299</v>
      </c>
      <c r="I30" s="27" t="s">
        <v>157</v>
      </c>
      <c r="J30" s="28">
        <v>0</v>
      </c>
      <c r="K30" s="19" t="s">
        <v>300</v>
      </c>
      <c r="L30" s="16">
        <v>9.6</v>
      </c>
      <c r="M30" s="28">
        <v>9.6</v>
      </c>
      <c r="N30" s="28">
        <v>155.322580645161</v>
      </c>
      <c r="O30" s="28">
        <v>60</v>
      </c>
      <c r="P30" s="33">
        <v>142848</v>
      </c>
      <c r="Q30" s="37">
        <v>142848</v>
      </c>
      <c r="R30" s="38" t="s">
        <v>301</v>
      </c>
      <c r="S30" s="38" t="s">
        <v>302</v>
      </c>
      <c r="T30" s="38" t="s">
        <v>301</v>
      </c>
      <c r="U30" s="38" t="s">
        <v>303</v>
      </c>
      <c r="V30" s="2">
        <f t="shared" si="0"/>
        <v>142848</v>
      </c>
      <c r="W30" s="73">
        <f t="shared" si="1"/>
        <v>0</v>
      </c>
    </row>
    <row r="31" s="2" customFormat="1" ht="300" customHeight="1" spans="1:23">
      <c r="A31" s="11">
        <v>18</v>
      </c>
      <c r="B31" s="11" t="s">
        <v>20</v>
      </c>
      <c r="C31" s="14" t="s">
        <v>304</v>
      </c>
      <c r="D31" s="14" t="s">
        <v>305</v>
      </c>
      <c r="E31" s="13" t="s">
        <v>154</v>
      </c>
      <c r="F31" s="14" t="s">
        <v>304</v>
      </c>
      <c r="G31" s="16">
        <v>10</v>
      </c>
      <c r="H31" s="11" t="s">
        <v>306</v>
      </c>
      <c r="I31" s="27" t="s">
        <v>157</v>
      </c>
      <c r="J31" s="28">
        <v>0</v>
      </c>
      <c r="K31" s="19" t="s">
        <v>307</v>
      </c>
      <c r="L31" s="16">
        <v>6.45161290322581</v>
      </c>
      <c r="M31" s="28">
        <v>6.45161290322581</v>
      </c>
      <c r="N31" s="28">
        <v>150</v>
      </c>
      <c r="O31" s="28">
        <v>60</v>
      </c>
      <c r="P31" s="33">
        <v>3870.96774193548</v>
      </c>
      <c r="Q31" s="37">
        <v>3870</v>
      </c>
      <c r="R31" s="38" t="s">
        <v>308</v>
      </c>
      <c r="S31" s="38" t="s">
        <v>309</v>
      </c>
      <c r="T31" s="38" t="s">
        <v>308</v>
      </c>
      <c r="U31" s="38" t="s">
        <v>310</v>
      </c>
      <c r="V31" s="2">
        <f t="shared" si="0"/>
        <v>3870.96774193549</v>
      </c>
      <c r="W31" s="73">
        <f t="shared" si="1"/>
        <v>5.91171556152403e-12</v>
      </c>
    </row>
    <row r="32" s="2" customFormat="1" ht="80" customHeight="1" spans="1:23">
      <c r="A32" s="11">
        <v>19</v>
      </c>
      <c r="B32" s="11" t="s">
        <v>21</v>
      </c>
      <c r="C32" s="14" t="s">
        <v>311</v>
      </c>
      <c r="D32" s="14" t="s">
        <v>312</v>
      </c>
      <c r="E32" s="17" t="s">
        <v>154</v>
      </c>
      <c r="F32" s="14" t="s">
        <v>313</v>
      </c>
      <c r="G32" s="16">
        <v>43.78</v>
      </c>
      <c r="H32" s="11" t="s">
        <v>291</v>
      </c>
      <c r="I32" s="27" t="s">
        <v>157</v>
      </c>
      <c r="J32" s="28">
        <v>0</v>
      </c>
      <c r="K32" s="19" t="s">
        <v>314</v>
      </c>
      <c r="L32" s="16">
        <v>5</v>
      </c>
      <c r="M32" s="28">
        <v>5</v>
      </c>
      <c r="N32" s="28">
        <v>80</v>
      </c>
      <c r="O32" s="28">
        <f t="shared" si="3"/>
        <v>40</v>
      </c>
      <c r="P32" s="33">
        <v>8756</v>
      </c>
      <c r="Q32" s="37">
        <v>61234</v>
      </c>
      <c r="R32" s="38" t="s">
        <v>315</v>
      </c>
      <c r="S32" s="38" t="s">
        <v>316</v>
      </c>
      <c r="T32" s="38" t="s">
        <v>315</v>
      </c>
      <c r="U32" s="38" t="s">
        <v>317</v>
      </c>
      <c r="V32" s="2">
        <f t="shared" si="0"/>
        <v>8756</v>
      </c>
      <c r="W32" s="73">
        <f t="shared" si="1"/>
        <v>0</v>
      </c>
    </row>
    <row r="33" s="2" customFormat="1" ht="80" customHeight="1" spans="1:23">
      <c r="A33" s="11"/>
      <c r="B33" s="11"/>
      <c r="C33" s="14"/>
      <c r="D33" s="14"/>
      <c r="E33" s="20"/>
      <c r="F33" s="14" t="s">
        <v>318</v>
      </c>
      <c r="G33" s="16">
        <v>40.42</v>
      </c>
      <c r="H33" s="11" t="s">
        <v>319</v>
      </c>
      <c r="I33" s="27"/>
      <c r="J33" s="28"/>
      <c r="K33" s="19" t="s">
        <v>320</v>
      </c>
      <c r="L33" s="16">
        <v>4</v>
      </c>
      <c r="M33" s="28"/>
      <c r="N33" s="28">
        <v>80</v>
      </c>
      <c r="O33" s="28">
        <f t="shared" si="3"/>
        <v>40</v>
      </c>
      <c r="P33" s="33">
        <v>6467.2</v>
      </c>
      <c r="Q33" s="37"/>
      <c r="R33" s="38"/>
      <c r="S33" s="38"/>
      <c r="T33" s="38"/>
      <c r="U33" s="38"/>
      <c r="V33" s="2">
        <f t="shared" si="0"/>
        <v>6467.2</v>
      </c>
      <c r="W33" s="73">
        <f t="shared" si="1"/>
        <v>0</v>
      </c>
    </row>
    <row r="34" s="2" customFormat="1" ht="80" customHeight="1" spans="1:23">
      <c r="A34" s="11"/>
      <c r="B34" s="11"/>
      <c r="C34" s="14"/>
      <c r="D34" s="14"/>
      <c r="E34" s="20"/>
      <c r="F34" s="14" t="s">
        <v>321</v>
      </c>
      <c r="G34" s="16">
        <v>42.15</v>
      </c>
      <c r="H34" s="11" t="s">
        <v>322</v>
      </c>
      <c r="I34" s="27"/>
      <c r="J34" s="28"/>
      <c r="K34" s="19" t="s">
        <v>320</v>
      </c>
      <c r="L34" s="16">
        <v>4</v>
      </c>
      <c r="M34" s="28"/>
      <c r="N34" s="28">
        <v>80</v>
      </c>
      <c r="O34" s="28">
        <f t="shared" si="3"/>
        <v>40</v>
      </c>
      <c r="P34" s="33">
        <v>6744</v>
      </c>
      <c r="Q34" s="37"/>
      <c r="R34" s="38"/>
      <c r="S34" s="38"/>
      <c r="T34" s="38"/>
      <c r="U34" s="38"/>
      <c r="V34" s="2">
        <f t="shared" si="0"/>
        <v>6744</v>
      </c>
      <c r="W34" s="73">
        <f t="shared" si="1"/>
        <v>0</v>
      </c>
    </row>
    <row r="35" s="2" customFormat="1" ht="80" customHeight="1" spans="1:23">
      <c r="A35" s="11"/>
      <c r="B35" s="11"/>
      <c r="C35" s="14"/>
      <c r="D35" s="14"/>
      <c r="E35" s="20"/>
      <c r="F35" s="14" t="s">
        <v>323</v>
      </c>
      <c r="G35" s="16">
        <v>37.82</v>
      </c>
      <c r="H35" s="11" t="s">
        <v>324</v>
      </c>
      <c r="I35" s="27"/>
      <c r="J35" s="28"/>
      <c r="K35" s="19" t="s">
        <v>320</v>
      </c>
      <c r="L35" s="16">
        <v>4</v>
      </c>
      <c r="M35" s="28"/>
      <c r="N35" s="28">
        <v>80</v>
      </c>
      <c r="O35" s="28">
        <f t="shared" si="3"/>
        <v>40</v>
      </c>
      <c r="P35" s="33">
        <v>6051.2</v>
      </c>
      <c r="Q35" s="37"/>
      <c r="R35" s="38"/>
      <c r="S35" s="38"/>
      <c r="T35" s="38"/>
      <c r="U35" s="38"/>
      <c r="V35" s="2">
        <f t="shared" si="0"/>
        <v>6051.2</v>
      </c>
      <c r="W35" s="73">
        <f t="shared" si="1"/>
        <v>0</v>
      </c>
    </row>
    <row r="36" s="2" customFormat="1" ht="80" customHeight="1" spans="1:23">
      <c r="A36" s="11"/>
      <c r="B36" s="11"/>
      <c r="C36" s="14"/>
      <c r="D36" s="14"/>
      <c r="E36" s="20"/>
      <c r="F36" s="14" t="s">
        <v>325</v>
      </c>
      <c r="G36" s="16">
        <v>39.94</v>
      </c>
      <c r="H36" s="11" t="s">
        <v>319</v>
      </c>
      <c r="I36" s="27"/>
      <c r="J36" s="28"/>
      <c r="K36" s="19" t="s">
        <v>320</v>
      </c>
      <c r="L36" s="16">
        <v>4</v>
      </c>
      <c r="M36" s="28"/>
      <c r="N36" s="28">
        <v>80</v>
      </c>
      <c r="O36" s="28">
        <f t="shared" si="3"/>
        <v>40</v>
      </c>
      <c r="P36" s="33">
        <v>6390.4</v>
      </c>
      <c r="Q36" s="37"/>
      <c r="R36" s="38"/>
      <c r="S36" s="38"/>
      <c r="T36" s="38"/>
      <c r="U36" s="38"/>
      <c r="V36" s="2">
        <f t="shared" si="0"/>
        <v>6390.4</v>
      </c>
      <c r="W36" s="73">
        <f t="shared" si="1"/>
        <v>0</v>
      </c>
    </row>
    <row r="37" s="2" customFormat="1" ht="80" customHeight="1" spans="1:23">
      <c r="A37" s="11"/>
      <c r="B37" s="11"/>
      <c r="C37" s="14"/>
      <c r="D37" s="14"/>
      <c r="E37" s="20"/>
      <c r="F37" s="14" t="s">
        <v>326</v>
      </c>
      <c r="G37" s="16">
        <v>79.08</v>
      </c>
      <c r="H37" s="11" t="s">
        <v>327</v>
      </c>
      <c r="I37" s="27"/>
      <c r="J37" s="28"/>
      <c r="K37" s="19" t="s">
        <v>228</v>
      </c>
      <c r="L37" s="16">
        <v>2</v>
      </c>
      <c r="M37" s="28"/>
      <c r="N37" s="28">
        <v>80</v>
      </c>
      <c r="O37" s="28">
        <f t="shared" si="3"/>
        <v>40</v>
      </c>
      <c r="P37" s="33">
        <v>6326.4</v>
      </c>
      <c r="Q37" s="37"/>
      <c r="R37" s="38"/>
      <c r="S37" s="38"/>
      <c r="T37" s="38"/>
      <c r="U37" s="38"/>
      <c r="V37" s="2">
        <f t="shared" si="0"/>
        <v>6326.4</v>
      </c>
      <c r="W37" s="73">
        <f t="shared" si="1"/>
        <v>0</v>
      </c>
    </row>
    <row r="38" s="2" customFormat="1" ht="80" customHeight="1" spans="1:23">
      <c r="A38" s="11"/>
      <c r="B38" s="11"/>
      <c r="C38" s="14"/>
      <c r="D38" s="14"/>
      <c r="E38" s="20"/>
      <c r="F38" s="14" t="s">
        <v>328</v>
      </c>
      <c r="G38" s="16">
        <v>75.1</v>
      </c>
      <c r="H38" s="11" t="s">
        <v>329</v>
      </c>
      <c r="I38" s="27"/>
      <c r="J38" s="28"/>
      <c r="K38" s="19" t="s">
        <v>320</v>
      </c>
      <c r="L38" s="16">
        <v>4</v>
      </c>
      <c r="M38" s="28"/>
      <c r="N38" s="28">
        <v>80</v>
      </c>
      <c r="O38" s="28">
        <f t="shared" si="3"/>
        <v>40</v>
      </c>
      <c r="P38" s="33">
        <v>12016</v>
      </c>
      <c r="Q38" s="37"/>
      <c r="R38" s="38"/>
      <c r="S38" s="38"/>
      <c r="T38" s="38"/>
      <c r="U38" s="38"/>
      <c r="V38" s="2">
        <f t="shared" si="0"/>
        <v>12016</v>
      </c>
      <c r="W38" s="73">
        <f t="shared" si="1"/>
        <v>0</v>
      </c>
    </row>
    <row r="39" s="2" customFormat="1" ht="80" customHeight="1" spans="1:23">
      <c r="A39" s="11"/>
      <c r="B39" s="11"/>
      <c r="C39" s="14"/>
      <c r="D39" s="14"/>
      <c r="E39" s="18"/>
      <c r="F39" s="14" t="s">
        <v>330</v>
      </c>
      <c r="G39" s="16">
        <v>70.69</v>
      </c>
      <c r="H39" s="11" t="s">
        <v>272</v>
      </c>
      <c r="I39" s="27"/>
      <c r="J39" s="28"/>
      <c r="K39" s="19" t="s">
        <v>273</v>
      </c>
      <c r="L39" s="16">
        <v>3</v>
      </c>
      <c r="M39" s="28"/>
      <c r="N39" s="28">
        <v>80</v>
      </c>
      <c r="O39" s="28">
        <f t="shared" si="3"/>
        <v>40</v>
      </c>
      <c r="P39" s="33">
        <v>8482.8</v>
      </c>
      <c r="Q39" s="37"/>
      <c r="R39" s="38"/>
      <c r="S39" s="38"/>
      <c r="T39" s="38"/>
      <c r="U39" s="38"/>
      <c r="V39" s="2">
        <f t="shared" si="0"/>
        <v>8482.8</v>
      </c>
      <c r="W39" s="73">
        <f t="shared" si="1"/>
        <v>0</v>
      </c>
    </row>
    <row r="40" s="2" customFormat="1" ht="300" customHeight="1" spans="1:23">
      <c r="A40" s="11">
        <v>20</v>
      </c>
      <c r="B40" s="11" t="s">
        <v>22</v>
      </c>
      <c r="C40" s="14" t="s">
        <v>331</v>
      </c>
      <c r="D40" s="14" t="s">
        <v>332</v>
      </c>
      <c r="E40" s="13" t="s">
        <v>154</v>
      </c>
      <c r="F40" s="14" t="s">
        <v>333</v>
      </c>
      <c r="G40" s="16">
        <v>283.37</v>
      </c>
      <c r="H40" s="11" t="s">
        <v>334</v>
      </c>
      <c r="I40" s="27" t="s">
        <v>157</v>
      </c>
      <c r="J40" s="28">
        <v>0</v>
      </c>
      <c r="K40" s="19" t="s">
        <v>335</v>
      </c>
      <c r="L40" s="16">
        <v>8.90322580645161</v>
      </c>
      <c r="M40" s="28">
        <v>8.90322580645161</v>
      </c>
      <c r="N40" s="28">
        <v>118</v>
      </c>
      <c r="O40" s="28">
        <f t="shared" si="3"/>
        <v>59</v>
      </c>
      <c r="P40" s="33">
        <v>148851.518709677</v>
      </c>
      <c r="Q40" s="37">
        <v>148851</v>
      </c>
      <c r="R40" s="38" t="s">
        <v>336</v>
      </c>
      <c r="S40" s="38" t="s">
        <v>337</v>
      </c>
      <c r="T40" s="38" t="s">
        <v>336</v>
      </c>
      <c r="U40" s="38" t="s">
        <v>338</v>
      </c>
      <c r="V40" s="2">
        <f t="shared" si="0"/>
        <v>148851.518709677</v>
      </c>
      <c r="W40" s="73">
        <f t="shared" si="1"/>
        <v>3.78349795937538e-10</v>
      </c>
    </row>
    <row r="41" s="2" customFormat="1" ht="150" customHeight="1" spans="1:23">
      <c r="A41" s="11">
        <v>21</v>
      </c>
      <c r="B41" s="11" t="s">
        <v>23</v>
      </c>
      <c r="C41" s="14" t="s">
        <v>339</v>
      </c>
      <c r="D41" s="14" t="s">
        <v>340</v>
      </c>
      <c r="E41" s="17" t="s">
        <v>154</v>
      </c>
      <c r="F41" s="14" t="s">
        <v>341</v>
      </c>
      <c r="G41" s="16">
        <v>21</v>
      </c>
      <c r="H41" s="11" t="s">
        <v>342</v>
      </c>
      <c r="I41" s="27" t="s">
        <v>157</v>
      </c>
      <c r="J41" s="28">
        <v>0</v>
      </c>
      <c r="K41" s="19" t="s">
        <v>342</v>
      </c>
      <c r="L41" s="16">
        <v>8.11290322580645</v>
      </c>
      <c r="M41" s="28">
        <v>15.6129032258065</v>
      </c>
      <c r="N41" s="28">
        <v>87.42</v>
      </c>
      <c r="O41" s="28">
        <f t="shared" si="3"/>
        <v>43.71</v>
      </c>
      <c r="P41" s="33">
        <v>7446.915</v>
      </c>
      <c r="Q41" s="37">
        <v>14331</v>
      </c>
      <c r="R41" s="38" t="s">
        <v>343</v>
      </c>
      <c r="S41" s="38" t="s">
        <v>344</v>
      </c>
      <c r="T41" s="38" t="s">
        <v>343</v>
      </c>
      <c r="U41" s="38" t="s">
        <v>345</v>
      </c>
      <c r="V41" s="2">
        <f t="shared" si="0"/>
        <v>7446.915</v>
      </c>
      <c r="W41" s="73">
        <f t="shared" si="1"/>
        <v>0</v>
      </c>
    </row>
    <row r="42" s="2" customFormat="1" ht="150" customHeight="1" spans="1:23">
      <c r="A42" s="11"/>
      <c r="B42" s="11"/>
      <c r="C42" s="14"/>
      <c r="D42" s="14"/>
      <c r="E42" s="18"/>
      <c r="F42" s="14" t="s">
        <v>341</v>
      </c>
      <c r="G42" s="16">
        <v>21</v>
      </c>
      <c r="H42" s="11" t="s">
        <v>346</v>
      </c>
      <c r="I42" s="27"/>
      <c r="J42" s="28"/>
      <c r="K42" s="19" t="s">
        <v>346</v>
      </c>
      <c r="L42" s="16">
        <v>7.5</v>
      </c>
      <c r="M42" s="28"/>
      <c r="N42" s="28">
        <v>87.42</v>
      </c>
      <c r="O42" s="28">
        <f t="shared" si="3"/>
        <v>43.71</v>
      </c>
      <c r="P42" s="33">
        <v>6884.325</v>
      </c>
      <c r="Q42" s="37"/>
      <c r="R42" s="38"/>
      <c r="S42" s="38"/>
      <c r="T42" s="38"/>
      <c r="U42" s="38"/>
      <c r="V42" s="2">
        <f t="shared" si="0"/>
        <v>6884.325</v>
      </c>
      <c r="W42" s="73">
        <f t="shared" si="1"/>
        <v>0</v>
      </c>
    </row>
    <row r="43" s="2" customFormat="1" ht="300" customHeight="1" spans="1:23">
      <c r="A43" s="11">
        <v>22</v>
      </c>
      <c r="B43" s="15" t="s">
        <v>24</v>
      </c>
      <c r="C43" s="14" t="s">
        <v>347</v>
      </c>
      <c r="D43" s="15" t="s">
        <v>348</v>
      </c>
      <c r="E43" s="13" t="s">
        <v>154</v>
      </c>
      <c r="F43" s="15" t="s">
        <v>349</v>
      </c>
      <c r="G43" s="19">
        <v>39.48</v>
      </c>
      <c r="H43" s="11" t="s">
        <v>350</v>
      </c>
      <c r="I43" s="27" t="s">
        <v>157</v>
      </c>
      <c r="J43" s="28">
        <v>0</v>
      </c>
      <c r="K43" s="32" t="s">
        <v>351</v>
      </c>
      <c r="L43" s="33">
        <v>10.1290322580645</v>
      </c>
      <c r="M43" s="28">
        <v>10.1290322580645</v>
      </c>
      <c r="N43" s="28">
        <v>87.42</v>
      </c>
      <c r="O43" s="28">
        <f t="shared" si="3"/>
        <v>43.71</v>
      </c>
      <c r="P43" s="34">
        <v>17479.3752</v>
      </c>
      <c r="Q43" s="37">
        <v>17479</v>
      </c>
      <c r="R43" s="38" t="s">
        <v>352</v>
      </c>
      <c r="S43" s="38" t="s">
        <v>353</v>
      </c>
      <c r="T43" s="38" t="s">
        <v>352</v>
      </c>
      <c r="U43" s="38" t="s">
        <v>354</v>
      </c>
      <c r="V43" s="2">
        <f t="shared" si="0"/>
        <v>17479.3752</v>
      </c>
      <c r="W43" s="73">
        <f t="shared" si="1"/>
        <v>0</v>
      </c>
    </row>
    <row r="44" s="2" customFormat="1" ht="300" customHeight="1" spans="1:23">
      <c r="A44" s="11">
        <v>23</v>
      </c>
      <c r="B44" s="15" t="s">
        <v>25</v>
      </c>
      <c r="C44" s="14" t="s">
        <v>355</v>
      </c>
      <c r="D44" s="15" t="s">
        <v>356</v>
      </c>
      <c r="E44" s="13" t="s">
        <v>154</v>
      </c>
      <c r="F44" s="14" t="s">
        <v>357</v>
      </c>
      <c r="G44" s="19">
        <v>190.22</v>
      </c>
      <c r="H44" s="11" t="s">
        <v>358</v>
      </c>
      <c r="I44" s="27" t="s">
        <v>157</v>
      </c>
      <c r="J44" s="28">
        <v>0</v>
      </c>
      <c r="K44" s="32" t="s">
        <v>359</v>
      </c>
      <c r="L44" s="33">
        <v>12</v>
      </c>
      <c r="M44" s="28">
        <v>12</v>
      </c>
      <c r="N44" s="28">
        <v>158</v>
      </c>
      <c r="O44" s="28">
        <v>60</v>
      </c>
      <c r="P44" s="34">
        <v>136958.4</v>
      </c>
      <c r="Q44" s="37">
        <v>136958</v>
      </c>
      <c r="R44" s="38" t="s">
        <v>360</v>
      </c>
      <c r="S44" s="38" t="s">
        <v>361</v>
      </c>
      <c r="T44" s="38" t="s">
        <v>360</v>
      </c>
      <c r="U44" s="38" t="s">
        <v>362</v>
      </c>
      <c r="V44" s="2">
        <f t="shared" si="0"/>
        <v>136958.4</v>
      </c>
      <c r="W44" s="73">
        <f t="shared" si="1"/>
        <v>0</v>
      </c>
    </row>
    <row r="45" s="2" customFormat="1" ht="100.05" customHeight="1" spans="1:23">
      <c r="A45" s="11">
        <v>24</v>
      </c>
      <c r="B45" s="15" t="s">
        <v>26</v>
      </c>
      <c r="C45" s="14" t="s">
        <v>363</v>
      </c>
      <c r="D45" s="15" t="s">
        <v>364</v>
      </c>
      <c r="E45" s="17" t="s">
        <v>154</v>
      </c>
      <c r="F45" s="14" t="s">
        <v>365</v>
      </c>
      <c r="G45" s="19">
        <v>337.42</v>
      </c>
      <c r="H45" s="11" t="s">
        <v>366</v>
      </c>
      <c r="I45" s="27" t="s">
        <v>157</v>
      </c>
      <c r="J45" s="28">
        <v>0</v>
      </c>
      <c r="K45" s="32" t="s">
        <v>228</v>
      </c>
      <c r="L45" s="33">
        <v>2</v>
      </c>
      <c r="M45" s="28">
        <v>2</v>
      </c>
      <c r="N45" s="28">
        <v>80</v>
      </c>
      <c r="O45" s="28">
        <f t="shared" ref="O45:O47" si="4">N45*0.5</f>
        <v>40</v>
      </c>
      <c r="P45" s="34">
        <v>26993.6</v>
      </c>
      <c r="Q45" s="37">
        <v>48354</v>
      </c>
      <c r="R45" s="38" t="s">
        <v>367</v>
      </c>
      <c r="S45" s="38" t="s">
        <v>368</v>
      </c>
      <c r="T45" s="38" t="s">
        <v>367</v>
      </c>
      <c r="U45" s="38" t="s">
        <v>369</v>
      </c>
      <c r="V45" s="2">
        <f t="shared" si="0"/>
        <v>26993.6</v>
      </c>
      <c r="W45" s="73">
        <f t="shared" si="1"/>
        <v>0</v>
      </c>
    </row>
    <row r="46" s="2" customFormat="1" ht="100.05" customHeight="1" spans="1:23">
      <c r="A46" s="11"/>
      <c r="B46" s="15"/>
      <c r="C46" s="14"/>
      <c r="D46" s="15"/>
      <c r="E46" s="20"/>
      <c r="F46" s="14" t="s">
        <v>370</v>
      </c>
      <c r="G46" s="19">
        <v>75.32</v>
      </c>
      <c r="H46" s="11" t="s">
        <v>366</v>
      </c>
      <c r="I46" s="27"/>
      <c r="J46" s="28"/>
      <c r="K46" s="32" t="s">
        <v>228</v>
      </c>
      <c r="L46" s="33">
        <v>2</v>
      </c>
      <c r="M46" s="28"/>
      <c r="N46" s="28">
        <v>80</v>
      </c>
      <c r="O46" s="28">
        <f t="shared" si="4"/>
        <v>40</v>
      </c>
      <c r="P46" s="34">
        <v>6025.6</v>
      </c>
      <c r="Q46" s="37"/>
      <c r="R46" s="38"/>
      <c r="S46" s="38"/>
      <c r="T46" s="38"/>
      <c r="U46" s="38"/>
      <c r="V46" s="2">
        <f t="shared" si="0"/>
        <v>6025.6</v>
      </c>
      <c r="W46" s="73">
        <f t="shared" si="1"/>
        <v>0</v>
      </c>
    </row>
    <row r="47" s="2" customFormat="1" ht="100.05" customHeight="1" spans="1:23">
      <c r="A47" s="11"/>
      <c r="B47" s="15"/>
      <c r="C47" s="14"/>
      <c r="D47" s="15"/>
      <c r="E47" s="18"/>
      <c r="F47" s="14" t="s">
        <v>371</v>
      </c>
      <c r="G47" s="19">
        <v>191.69</v>
      </c>
      <c r="H47" s="11" t="s">
        <v>366</v>
      </c>
      <c r="I47" s="27"/>
      <c r="J47" s="28"/>
      <c r="K47" s="32" t="s">
        <v>228</v>
      </c>
      <c r="L47" s="33">
        <v>2</v>
      </c>
      <c r="M47" s="28"/>
      <c r="N47" s="28">
        <v>80</v>
      </c>
      <c r="O47" s="28">
        <f t="shared" si="4"/>
        <v>40</v>
      </c>
      <c r="P47" s="34">
        <v>15335.2</v>
      </c>
      <c r="Q47" s="37"/>
      <c r="R47" s="38"/>
      <c r="S47" s="38"/>
      <c r="T47" s="38"/>
      <c r="U47" s="38"/>
      <c r="V47" s="2">
        <f t="shared" si="0"/>
        <v>15335.2</v>
      </c>
      <c r="W47" s="73">
        <f t="shared" si="1"/>
        <v>0</v>
      </c>
    </row>
    <row r="48" s="2" customFormat="1" ht="300" customHeight="1" spans="1:23">
      <c r="A48" s="11">
        <v>25</v>
      </c>
      <c r="B48" s="15" t="s">
        <v>27</v>
      </c>
      <c r="C48" s="14" t="s">
        <v>289</v>
      </c>
      <c r="D48" s="15" t="s">
        <v>372</v>
      </c>
      <c r="E48" s="13" t="s">
        <v>154</v>
      </c>
      <c r="F48" s="14" t="s">
        <v>373</v>
      </c>
      <c r="G48" s="19">
        <v>10</v>
      </c>
      <c r="H48" s="11" t="s">
        <v>374</v>
      </c>
      <c r="I48" s="27" t="s">
        <v>157</v>
      </c>
      <c r="J48" s="28">
        <v>0</v>
      </c>
      <c r="K48" s="32" t="s">
        <v>359</v>
      </c>
      <c r="L48" s="33">
        <v>12</v>
      </c>
      <c r="M48" s="28">
        <v>12</v>
      </c>
      <c r="N48" s="28">
        <v>150</v>
      </c>
      <c r="O48" s="28">
        <v>60</v>
      </c>
      <c r="P48" s="34">
        <v>7200</v>
      </c>
      <c r="Q48" s="37">
        <v>7200</v>
      </c>
      <c r="R48" s="38" t="s">
        <v>375</v>
      </c>
      <c r="S48" s="38" t="s">
        <v>376</v>
      </c>
      <c r="T48" s="38" t="s">
        <v>375</v>
      </c>
      <c r="U48" s="38" t="s">
        <v>377</v>
      </c>
      <c r="V48" s="2">
        <f t="shared" si="0"/>
        <v>7200</v>
      </c>
      <c r="W48" s="73">
        <f t="shared" si="1"/>
        <v>0</v>
      </c>
    </row>
    <row r="49" s="2" customFormat="1" ht="300" customHeight="1" spans="1:23">
      <c r="A49" s="11">
        <v>26</v>
      </c>
      <c r="B49" s="15" t="s">
        <v>28</v>
      </c>
      <c r="C49" s="14" t="s">
        <v>378</v>
      </c>
      <c r="D49" s="15" t="s">
        <v>379</v>
      </c>
      <c r="E49" s="13" t="s">
        <v>154</v>
      </c>
      <c r="F49" s="14" t="s">
        <v>380</v>
      </c>
      <c r="G49" s="19">
        <v>10</v>
      </c>
      <c r="H49" s="11" t="s">
        <v>381</v>
      </c>
      <c r="I49" s="27" t="s">
        <v>157</v>
      </c>
      <c r="J49" s="28">
        <v>0</v>
      </c>
      <c r="K49" s="32" t="s">
        <v>382</v>
      </c>
      <c r="L49" s="33">
        <v>13</v>
      </c>
      <c r="M49" s="28">
        <v>13</v>
      </c>
      <c r="N49" s="28">
        <v>150</v>
      </c>
      <c r="O49" s="28">
        <v>60</v>
      </c>
      <c r="P49" s="34">
        <v>7800</v>
      </c>
      <c r="Q49" s="37">
        <v>7800</v>
      </c>
      <c r="R49" s="38" t="s">
        <v>383</v>
      </c>
      <c r="S49" s="38" t="s">
        <v>384</v>
      </c>
      <c r="T49" s="38" t="s">
        <v>383</v>
      </c>
      <c r="U49" s="38" t="s">
        <v>385</v>
      </c>
      <c r="V49" s="2">
        <f t="shared" si="0"/>
        <v>7800</v>
      </c>
      <c r="W49" s="73">
        <f t="shared" si="1"/>
        <v>0</v>
      </c>
    </row>
    <row r="50" s="2" customFormat="1" ht="150" customHeight="1" spans="1:23">
      <c r="A50" s="11">
        <v>27</v>
      </c>
      <c r="B50" s="15" t="s">
        <v>29</v>
      </c>
      <c r="C50" s="14" t="s">
        <v>386</v>
      </c>
      <c r="D50" s="15" t="s">
        <v>387</v>
      </c>
      <c r="E50" s="24" t="s">
        <v>154</v>
      </c>
      <c r="F50" s="14" t="s">
        <v>388</v>
      </c>
      <c r="G50" s="19">
        <v>50</v>
      </c>
      <c r="H50" s="11" t="s">
        <v>389</v>
      </c>
      <c r="I50" s="27" t="s">
        <v>220</v>
      </c>
      <c r="J50" s="28">
        <v>4.03571428571429</v>
      </c>
      <c r="K50" s="32" t="s">
        <v>390</v>
      </c>
      <c r="L50" s="33">
        <v>7.93103448275862</v>
      </c>
      <c r="M50" s="28">
        <v>16.0357142857143</v>
      </c>
      <c r="N50" s="28">
        <v>120</v>
      </c>
      <c r="O50" s="28">
        <v>60</v>
      </c>
      <c r="P50" s="34">
        <v>23793.1034482759</v>
      </c>
      <c r="Q50" s="37">
        <v>36000</v>
      </c>
      <c r="R50" s="38" t="s">
        <v>391</v>
      </c>
      <c r="S50" s="38" t="s">
        <v>392</v>
      </c>
      <c r="T50" s="38" t="s">
        <v>391</v>
      </c>
      <c r="U50" s="38" t="s">
        <v>393</v>
      </c>
      <c r="V50" s="2">
        <f t="shared" si="0"/>
        <v>23793.1034482759</v>
      </c>
      <c r="W50" s="73">
        <f t="shared" si="1"/>
        <v>-3.63797880709171e-11</v>
      </c>
    </row>
    <row r="51" s="2" customFormat="1" ht="150" customHeight="1" spans="1:23">
      <c r="A51" s="11"/>
      <c r="B51" s="15"/>
      <c r="C51" s="14"/>
      <c r="D51" s="15"/>
      <c r="E51" s="25"/>
      <c r="F51" s="14" t="s">
        <v>388</v>
      </c>
      <c r="G51" s="19">
        <v>50</v>
      </c>
      <c r="H51" s="11" t="s">
        <v>394</v>
      </c>
      <c r="I51" s="27"/>
      <c r="J51" s="28"/>
      <c r="K51" s="32" t="s">
        <v>395</v>
      </c>
      <c r="L51" s="33">
        <v>4.06896551724138</v>
      </c>
      <c r="M51" s="28"/>
      <c r="N51" s="28">
        <v>120</v>
      </c>
      <c r="O51" s="28">
        <v>60</v>
      </c>
      <c r="P51" s="34">
        <v>12206.8965517241</v>
      </c>
      <c r="Q51" s="37"/>
      <c r="R51" s="38"/>
      <c r="S51" s="38"/>
      <c r="T51" s="38"/>
      <c r="U51" s="38"/>
      <c r="V51" s="2">
        <f t="shared" si="0"/>
        <v>12206.8965517241</v>
      </c>
      <c r="W51" s="73">
        <f t="shared" si="1"/>
        <v>4.00177668780088e-11</v>
      </c>
    </row>
    <row r="52" s="2" customFormat="1" ht="150" customHeight="1" spans="1:23">
      <c r="A52" s="11">
        <v>28</v>
      </c>
      <c r="B52" s="15" t="s">
        <v>30</v>
      </c>
      <c r="C52" s="14" t="s">
        <v>396</v>
      </c>
      <c r="D52" s="15" t="s">
        <v>397</v>
      </c>
      <c r="E52" s="17" t="s">
        <v>154</v>
      </c>
      <c r="F52" s="14" t="s">
        <v>398</v>
      </c>
      <c r="G52" s="19">
        <v>118</v>
      </c>
      <c r="H52" s="11" t="s">
        <v>399</v>
      </c>
      <c r="I52" s="27" t="s">
        <v>220</v>
      </c>
      <c r="J52" s="28">
        <v>10.7741935483871</v>
      </c>
      <c r="K52" s="32" t="s">
        <v>400</v>
      </c>
      <c r="L52" s="33">
        <v>0.9</v>
      </c>
      <c r="M52" s="28">
        <v>22.7741935483871</v>
      </c>
      <c r="N52" s="28">
        <v>118.5</v>
      </c>
      <c r="O52" s="28">
        <f>N52*0.5</f>
        <v>59.25</v>
      </c>
      <c r="P52" s="34">
        <v>6292.35</v>
      </c>
      <c r="Q52" s="37">
        <v>73569</v>
      </c>
      <c r="R52" s="38" t="s">
        <v>401</v>
      </c>
      <c r="S52" s="38" t="s">
        <v>402</v>
      </c>
      <c r="T52" s="38" t="s">
        <v>401</v>
      </c>
      <c r="U52" s="38" t="s">
        <v>403</v>
      </c>
      <c r="V52" s="2">
        <f t="shared" si="0"/>
        <v>6292.35</v>
      </c>
      <c r="W52" s="73">
        <f t="shared" si="1"/>
        <v>0</v>
      </c>
    </row>
    <row r="53" s="2" customFormat="1" ht="150" customHeight="1" spans="1:23">
      <c r="A53" s="11"/>
      <c r="B53" s="15"/>
      <c r="C53" s="14"/>
      <c r="D53" s="15"/>
      <c r="E53" s="20"/>
      <c r="F53" s="14" t="s">
        <v>398</v>
      </c>
      <c r="G53" s="19">
        <v>118</v>
      </c>
      <c r="H53" s="11" t="s">
        <v>399</v>
      </c>
      <c r="I53" s="27"/>
      <c r="J53" s="28"/>
      <c r="K53" s="32" t="s">
        <v>404</v>
      </c>
      <c r="L53" s="33">
        <v>2.51612903225806</v>
      </c>
      <c r="M53" s="28"/>
      <c r="N53" s="28">
        <v>118.5</v>
      </c>
      <c r="O53" s="28">
        <f>N53*0.5</f>
        <v>59.25</v>
      </c>
      <c r="P53" s="34">
        <v>17591.5161290323</v>
      </c>
      <c r="Q53" s="37"/>
      <c r="R53" s="38"/>
      <c r="S53" s="38"/>
      <c r="T53" s="38"/>
      <c r="U53" s="38"/>
      <c r="V53" s="2">
        <f t="shared" si="0"/>
        <v>17591.5161290322</v>
      </c>
      <c r="W53" s="73">
        <f t="shared" si="1"/>
        <v>-7.6397554948926e-11</v>
      </c>
    </row>
    <row r="54" s="2" customFormat="1" ht="150" customHeight="1" spans="1:23">
      <c r="A54" s="11"/>
      <c r="B54" s="15"/>
      <c r="C54" s="14"/>
      <c r="D54" s="15"/>
      <c r="E54" s="20"/>
      <c r="F54" s="14" t="s">
        <v>398</v>
      </c>
      <c r="G54" s="19">
        <v>118</v>
      </c>
      <c r="H54" s="11" t="s">
        <v>399</v>
      </c>
      <c r="I54" s="27"/>
      <c r="J54" s="28"/>
      <c r="K54" s="32" t="s">
        <v>206</v>
      </c>
      <c r="L54" s="33">
        <v>6.48387096774194</v>
      </c>
      <c r="M54" s="28"/>
      <c r="N54" s="28">
        <v>120</v>
      </c>
      <c r="O54" s="28">
        <v>60</v>
      </c>
      <c r="P54" s="34">
        <v>45905.8064516129</v>
      </c>
      <c r="Q54" s="37"/>
      <c r="R54" s="38"/>
      <c r="S54" s="38"/>
      <c r="T54" s="38"/>
      <c r="U54" s="38"/>
      <c r="V54" s="2">
        <f t="shared" si="0"/>
        <v>45905.8064516129</v>
      </c>
      <c r="W54" s="73">
        <f t="shared" si="1"/>
        <v>0</v>
      </c>
    </row>
    <row r="55" s="2" customFormat="1" ht="150" customHeight="1" spans="1:23">
      <c r="A55" s="11"/>
      <c r="B55" s="15"/>
      <c r="C55" s="14"/>
      <c r="D55" s="15"/>
      <c r="E55" s="18"/>
      <c r="F55" s="14" t="s">
        <v>405</v>
      </c>
      <c r="G55" s="19">
        <v>30</v>
      </c>
      <c r="H55" s="11" t="s">
        <v>406</v>
      </c>
      <c r="I55" s="27"/>
      <c r="J55" s="28"/>
      <c r="K55" s="32" t="s">
        <v>407</v>
      </c>
      <c r="L55" s="33">
        <v>2.1</v>
      </c>
      <c r="M55" s="28"/>
      <c r="N55" s="28">
        <v>158.38</v>
      </c>
      <c r="O55" s="28">
        <v>60</v>
      </c>
      <c r="P55" s="34">
        <v>3780</v>
      </c>
      <c r="Q55" s="37"/>
      <c r="R55" s="38"/>
      <c r="S55" s="38"/>
      <c r="T55" s="38"/>
      <c r="U55" s="38"/>
      <c r="V55" s="2">
        <f t="shared" si="0"/>
        <v>3780</v>
      </c>
      <c r="W55" s="73">
        <f t="shared" si="1"/>
        <v>0</v>
      </c>
    </row>
    <row r="56" s="2" customFormat="1" ht="300" customHeight="1" spans="1:23">
      <c r="A56" s="11">
        <v>29</v>
      </c>
      <c r="B56" s="11" t="s">
        <v>31</v>
      </c>
      <c r="C56" s="14" t="s">
        <v>408</v>
      </c>
      <c r="D56" s="14" t="s">
        <v>409</v>
      </c>
      <c r="E56" s="17" t="s">
        <v>154</v>
      </c>
      <c r="F56" s="14" t="s">
        <v>408</v>
      </c>
      <c r="G56" s="16">
        <v>8</v>
      </c>
      <c r="H56" s="11" t="s">
        <v>410</v>
      </c>
      <c r="I56" s="27" t="s">
        <v>157</v>
      </c>
      <c r="J56" s="28">
        <v>0</v>
      </c>
      <c r="K56" s="19" t="s">
        <v>411</v>
      </c>
      <c r="L56" s="16">
        <v>10</v>
      </c>
      <c r="M56" s="28">
        <v>10</v>
      </c>
      <c r="N56" s="28">
        <v>187.5</v>
      </c>
      <c r="O56" s="28">
        <v>60</v>
      </c>
      <c r="P56" s="33">
        <v>4800</v>
      </c>
      <c r="Q56" s="37">
        <v>4800</v>
      </c>
      <c r="R56" s="38" t="s">
        <v>412</v>
      </c>
      <c r="S56" s="38" t="s">
        <v>413</v>
      </c>
      <c r="T56" s="38" t="s">
        <v>412</v>
      </c>
      <c r="U56" s="38" t="s">
        <v>414</v>
      </c>
      <c r="V56" s="2">
        <f t="shared" si="0"/>
        <v>4800</v>
      </c>
      <c r="W56" s="73">
        <f t="shared" si="1"/>
        <v>0</v>
      </c>
    </row>
    <row r="57" s="2" customFormat="1" ht="300" customHeight="1" spans="1:23">
      <c r="A57" s="11">
        <v>30</v>
      </c>
      <c r="B57" s="11" t="s">
        <v>32</v>
      </c>
      <c r="C57" s="14" t="s">
        <v>415</v>
      </c>
      <c r="D57" s="14" t="s">
        <v>416</v>
      </c>
      <c r="E57" s="13" t="s">
        <v>154</v>
      </c>
      <c r="F57" s="14" t="s">
        <v>415</v>
      </c>
      <c r="G57" s="16">
        <v>8</v>
      </c>
      <c r="H57" s="11" t="s">
        <v>417</v>
      </c>
      <c r="I57" s="27" t="s">
        <v>157</v>
      </c>
      <c r="J57" s="28">
        <v>0</v>
      </c>
      <c r="K57" s="19" t="s">
        <v>418</v>
      </c>
      <c r="L57" s="16">
        <v>5.97741935483871</v>
      </c>
      <c r="M57" s="28">
        <v>5.97741935483871</v>
      </c>
      <c r="N57" s="28">
        <v>187.5</v>
      </c>
      <c r="O57" s="28">
        <v>60</v>
      </c>
      <c r="P57" s="33">
        <v>2869.16129032258</v>
      </c>
      <c r="Q57" s="37">
        <v>2869</v>
      </c>
      <c r="R57" s="38" t="s">
        <v>419</v>
      </c>
      <c r="S57" s="38" t="s">
        <v>420</v>
      </c>
      <c r="T57" s="38" t="s">
        <v>419</v>
      </c>
      <c r="U57" s="38" t="s">
        <v>421</v>
      </c>
      <c r="V57" s="2">
        <f t="shared" si="0"/>
        <v>2869.16129032258</v>
      </c>
      <c r="W57" s="73">
        <f t="shared" si="1"/>
        <v>0</v>
      </c>
    </row>
    <row r="58" s="2" customFormat="1" ht="300" customHeight="1" spans="1:23">
      <c r="A58" s="11">
        <v>31</v>
      </c>
      <c r="B58" s="11" t="s">
        <v>33</v>
      </c>
      <c r="C58" s="14" t="s">
        <v>422</v>
      </c>
      <c r="D58" s="14" t="s">
        <v>423</v>
      </c>
      <c r="E58" s="13" t="s">
        <v>154</v>
      </c>
      <c r="F58" s="14" t="s">
        <v>422</v>
      </c>
      <c r="G58" s="16">
        <v>98</v>
      </c>
      <c r="H58" s="11" t="s">
        <v>424</v>
      </c>
      <c r="I58" s="27" t="s">
        <v>157</v>
      </c>
      <c r="J58" s="28">
        <v>0</v>
      </c>
      <c r="K58" s="19" t="s">
        <v>425</v>
      </c>
      <c r="L58" s="16">
        <v>11</v>
      </c>
      <c r="M58" s="28">
        <v>11</v>
      </c>
      <c r="N58" s="28">
        <v>173.469387755102</v>
      </c>
      <c r="O58" s="28">
        <v>60</v>
      </c>
      <c r="P58" s="33">
        <v>64680</v>
      </c>
      <c r="Q58" s="37">
        <v>64680</v>
      </c>
      <c r="R58" s="38" t="s">
        <v>426</v>
      </c>
      <c r="S58" s="38" t="s">
        <v>427</v>
      </c>
      <c r="T58" s="38" t="s">
        <v>426</v>
      </c>
      <c r="U58" s="38" t="s">
        <v>428</v>
      </c>
      <c r="V58" s="2">
        <f t="shared" si="0"/>
        <v>64680</v>
      </c>
      <c r="W58" s="73">
        <f t="shared" si="1"/>
        <v>0</v>
      </c>
    </row>
    <row r="59" s="2" customFormat="1" ht="300" customHeight="1" spans="1:23">
      <c r="A59" s="11">
        <v>32</v>
      </c>
      <c r="B59" s="11" t="s">
        <v>34</v>
      </c>
      <c r="C59" s="11" t="s">
        <v>429</v>
      </c>
      <c r="D59" s="11" t="s">
        <v>430</v>
      </c>
      <c r="E59" s="13" t="s">
        <v>154</v>
      </c>
      <c r="F59" s="11" t="s">
        <v>431</v>
      </c>
      <c r="G59" s="26">
        <v>399.89</v>
      </c>
      <c r="H59" s="11" t="s">
        <v>432</v>
      </c>
      <c r="I59" s="27" t="s">
        <v>220</v>
      </c>
      <c r="J59" s="28">
        <v>7</v>
      </c>
      <c r="K59" s="27" t="s">
        <v>359</v>
      </c>
      <c r="L59" s="26">
        <v>12</v>
      </c>
      <c r="M59" s="28">
        <v>19</v>
      </c>
      <c r="N59" s="28">
        <v>173</v>
      </c>
      <c r="O59" s="28">
        <v>60</v>
      </c>
      <c r="P59" s="35">
        <v>287920.8</v>
      </c>
      <c r="Q59" s="37">
        <v>287920</v>
      </c>
      <c r="R59" s="38" t="s">
        <v>433</v>
      </c>
      <c r="S59" s="38" t="s">
        <v>434</v>
      </c>
      <c r="T59" s="38" t="s">
        <v>433</v>
      </c>
      <c r="U59" s="38" t="s">
        <v>435</v>
      </c>
      <c r="V59" s="2">
        <f t="shared" si="0"/>
        <v>287920.8</v>
      </c>
      <c r="W59" s="73">
        <f t="shared" si="1"/>
        <v>0</v>
      </c>
    </row>
    <row r="60" s="2" customFormat="1" ht="300" customHeight="1" spans="1:23">
      <c r="A60" s="11">
        <v>33</v>
      </c>
      <c r="B60" s="11" t="s">
        <v>35</v>
      </c>
      <c r="C60" s="11" t="s">
        <v>436</v>
      </c>
      <c r="D60" s="11" t="s">
        <v>437</v>
      </c>
      <c r="E60" s="13" t="s">
        <v>154</v>
      </c>
      <c r="F60" s="11" t="s">
        <v>438</v>
      </c>
      <c r="G60" s="26">
        <v>10</v>
      </c>
      <c r="H60" s="11" t="s">
        <v>257</v>
      </c>
      <c r="I60" s="27" t="s">
        <v>157</v>
      </c>
      <c r="J60" s="28">
        <v>0</v>
      </c>
      <c r="K60" s="27" t="s">
        <v>206</v>
      </c>
      <c r="L60" s="26">
        <v>6.48387096774194</v>
      </c>
      <c r="M60" s="28">
        <v>6.48387096774194</v>
      </c>
      <c r="N60" s="28">
        <v>150</v>
      </c>
      <c r="O60" s="28">
        <v>60</v>
      </c>
      <c r="P60" s="35">
        <v>3890.32258064516</v>
      </c>
      <c r="Q60" s="37">
        <v>3890</v>
      </c>
      <c r="R60" s="38" t="s">
        <v>439</v>
      </c>
      <c r="S60" s="38" t="s">
        <v>440</v>
      </c>
      <c r="T60" s="38" t="s">
        <v>439</v>
      </c>
      <c r="U60" s="38" t="s">
        <v>441</v>
      </c>
      <c r="V60" s="2">
        <f t="shared" si="0"/>
        <v>3890.32258064516</v>
      </c>
      <c r="W60" s="73">
        <f t="shared" si="1"/>
        <v>4.54747350886464e-12</v>
      </c>
    </row>
    <row r="61" s="2" customFormat="1" ht="150" customHeight="1" spans="1:23">
      <c r="A61" s="11">
        <v>34</v>
      </c>
      <c r="B61" s="11" t="s">
        <v>36</v>
      </c>
      <c r="C61" s="11" t="s">
        <v>442</v>
      </c>
      <c r="D61" s="11" t="s">
        <v>443</v>
      </c>
      <c r="E61" s="17" t="s">
        <v>154</v>
      </c>
      <c r="F61" s="11" t="s">
        <v>444</v>
      </c>
      <c r="G61" s="26">
        <v>10</v>
      </c>
      <c r="H61" s="11" t="s">
        <v>445</v>
      </c>
      <c r="I61" s="27" t="s">
        <v>157</v>
      </c>
      <c r="J61" s="28">
        <v>0</v>
      </c>
      <c r="K61" s="27" t="s">
        <v>446</v>
      </c>
      <c r="L61" s="26">
        <v>3</v>
      </c>
      <c r="M61" s="28">
        <v>6.48387096774194</v>
      </c>
      <c r="N61" s="28">
        <v>150</v>
      </c>
      <c r="O61" s="28">
        <v>60</v>
      </c>
      <c r="P61" s="35">
        <v>1800</v>
      </c>
      <c r="Q61" s="37">
        <v>3890</v>
      </c>
      <c r="R61" s="38" t="s">
        <v>439</v>
      </c>
      <c r="S61" s="38" t="s">
        <v>440</v>
      </c>
      <c r="T61" s="38" t="s">
        <v>439</v>
      </c>
      <c r="U61" s="38" t="s">
        <v>441</v>
      </c>
      <c r="V61" s="2">
        <f t="shared" si="0"/>
        <v>1800</v>
      </c>
      <c r="W61" s="73">
        <f t="shared" si="1"/>
        <v>0</v>
      </c>
    </row>
    <row r="62" s="2" customFormat="1" ht="150" customHeight="1" spans="1:23">
      <c r="A62" s="11"/>
      <c r="B62" s="11"/>
      <c r="C62" s="11"/>
      <c r="D62" s="11"/>
      <c r="E62" s="18"/>
      <c r="F62" s="11" t="s">
        <v>438</v>
      </c>
      <c r="G62" s="26">
        <v>10</v>
      </c>
      <c r="H62" s="11" t="s">
        <v>257</v>
      </c>
      <c r="I62" s="27"/>
      <c r="J62" s="28"/>
      <c r="K62" s="27" t="s">
        <v>447</v>
      </c>
      <c r="L62" s="26">
        <v>3.48387096774194</v>
      </c>
      <c r="M62" s="28"/>
      <c r="N62" s="28">
        <v>150</v>
      </c>
      <c r="O62" s="28">
        <v>60</v>
      </c>
      <c r="P62" s="35">
        <v>2090.32258064516</v>
      </c>
      <c r="Q62" s="37"/>
      <c r="R62" s="38"/>
      <c r="S62" s="38"/>
      <c r="T62" s="38"/>
      <c r="U62" s="38"/>
      <c r="V62" s="2">
        <f t="shared" si="0"/>
        <v>2090.32258064516</v>
      </c>
      <c r="W62" s="73">
        <f t="shared" si="1"/>
        <v>3.63797880709171e-12</v>
      </c>
    </row>
    <row r="63" s="2" customFormat="1" ht="300" customHeight="1" spans="1:23">
      <c r="A63" s="11">
        <v>35</v>
      </c>
      <c r="B63" s="11" t="s">
        <v>37</v>
      </c>
      <c r="C63" s="11" t="s">
        <v>448</v>
      </c>
      <c r="D63" s="11" t="s">
        <v>449</v>
      </c>
      <c r="E63" s="13" t="s">
        <v>154</v>
      </c>
      <c r="F63" s="11" t="s">
        <v>450</v>
      </c>
      <c r="G63" s="26">
        <v>10</v>
      </c>
      <c r="H63" s="11" t="s">
        <v>451</v>
      </c>
      <c r="I63" s="27" t="s">
        <v>157</v>
      </c>
      <c r="J63" s="28">
        <v>0</v>
      </c>
      <c r="K63" s="27" t="s">
        <v>452</v>
      </c>
      <c r="L63" s="26">
        <v>15.8387096774194</v>
      </c>
      <c r="M63" s="28">
        <v>15.8387096774194</v>
      </c>
      <c r="N63" s="28">
        <v>150</v>
      </c>
      <c r="O63" s="28">
        <v>60</v>
      </c>
      <c r="P63" s="35">
        <v>9503.22580645161</v>
      </c>
      <c r="Q63" s="37">
        <v>9503</v>
      </c>
      <c r="R63" s="38" t="s">
        <v>453</v>
      </c>
      <c r="S63" s="38" t="s">
        <v>454</v>
      </c>
      <c r="T63" s="38" t="s">
        <v>453</v>
      </c>
      <c r="U63" s="38" t="s">
        <v>455</v>
      </c>
      <c r="V63" s="2">
        <f t="shared" si="0"/>
        <v>9503.22580645164</v>
      </c>
      <c r="W63" s="73">
        <f t="shared" si="1"/>
        <v>3.09228198602796e-11</v>
      </c>
    </row>
    <row r="64" s="2" customFormat="1" ht="120" customHeight="1" spans="1:23">
      <c r="A64" s="11">
        <v>36</v>
      </c>
      <c r="B64" s="11" t="s">
        <v>38</v>
      </c>
      <c r="C64" s="11" t="s">
        <v>456</v>
      </c>
      <c r="D64" s="11" t="s">
        <v>457</v>
      </c>
      <c r="E64" s="17" t="s">
        <v>154</v>
      </c>
      <c r="F64" s="11" t="s">
        <v>458</v>
      </c>
      <c r="G64" s="26">
        <v>83.65</v>
      </c>
      <c r="H64" s="11" t="s">
        <v>272</v>
      </c>
      <c r="I64" s="27" t="s">
        <v>157</v>
      </c>
      <c r="J64" s="28">
        <v>0</v>
      </c>
      <c r="K64" s="27" t="s">
        <v>273</v>
      </c>
      <c r="L64" s="26">
        <v>3</v>
      </c>
      <c r="M64" s="28">
        <v>5</v>
      </c>
      <c r="N64" s="28">
        <v>80</v>
      </c>
      <c r="O64" s="28">
        <f t="shared" ref="O64:O68" si="5">N64*0.5</f>
        <v>40</v>
      </c>
      <c r="P64" s="35">
        <v>10038</v>
      </c>
      <c r="Q64" s="37">
        <v>75522</v>
      </c>
      <c r="R64" s="38" t="s">
        <v>459</v>
      </c>
      <c r="S64" s="38" t="s">
        <v>460</v>
      </c>
      <c r="T64" s="38" t="s">
        <v>459</v>
      </c>
      <c r="U64" s="38" t="s">
        <v>461</v>
      </c>
      <c r="V64" s="2">
        <f t="shared" si="0"/>
        <v>10038</v>
      </c>
      <c r="W64" s="73">
        <f t="shared" si="1"/>
        <v>0</v>
      </c>
    </row>
    <row r="65" s="2" customFormat="1" ht="120" customHeight="1" spans="1:23">
      <c r="A65" s="11"/>
      <c r="B65" s="11"/>
      <c r="C65" s="11"/>
      <c r="D65" s="11"/>
      <c r="E65" s="20"/>
      <c r="F65" s="11" t="s">
        <v>462</v>
      </c>
      <c r="G65" s="26">
        <v>41.4</v>
      </c>
      <c r="H65" s="11" t="s">
        <v>463</v>
      </c>
      <c r="I65" s="27"/>
      <c r="J65" s="28"/>
      <c r="K65" s="27" t="s">
        <v>314</v>
      </c>
      <c r="L65" s="26">
        <v>5</v>
      </c>
      <c r="M65" s="28"/>
      <c r="N65" s="28">
        <v>80</v>
      </c>
      <c r="O65" s="28">
        <f t="shared" si="5"/>
        <v>40</v>
      </c>
      <c r="P65" s="35">
        <v>8280</v>
      </c>
      <c r="Q65" s="37"/>
      <c r="R65" s="38"/>
      <c r="S65" s="38"/>
      <c r="T65" s="38"/>
      <c r="U65" s="38"/>
      <c r="V65" s="2">
        <f t="shared" si="0"/>
        <v>8280</v>
      </c>
      <c r="W65" s="73">
        <f t="shared" si="1"/>
        <v>0</v>
      </c>
    </row>
    <row r="66" s="2" customFormat="1" ht="120" customHeight="1" spans="1:23">
      <c r="A66" s="11"/>
      <c r="B66" s="11"/>
      <c r="C66" s="11"/>
      <c r="D66" s="11"/>
      <c r="E66" s="20"/>
      <c r="F66" s="11" t="s">
        <v>464</v>
      </c>
      <c r="G66" s="26">
        <v>127.38</v>
      </c>
      <c r="H66" s="11" t="s">
        <v>329</v>
      </c>
      <c r="I66" s="27"/>
      <c r="J66" s="28"/>
      <c r="K66" s="27" t="s">
        <v>320</v>
      </c>
      <c r="L66" s="26">
        <v>4</v>
      </c>
      <c r="M66" s="28"/>
      <c r="N66" s="28">
        <v>80</v>
      </c>
      <c r="O66" s="28">
        <f t="shared" si="5"/>
        <v>40</v>
      </c>
      <c r="P66" s="35">
        <v>20380.8</v>
      </c>
      <c r="Q66" s="37"/>
      <c r="R66" s="38"/>
      <c r="S66" s="38"/>
      <c r="T66" s="38"/>
      <c r="U66" s="38"/>
      <c r="V66" s="2">
        <f t="shared" si="0"/>
        <v>20380.8</v>
      </c>
      <c r="W66" s="73">
        <f t="shared" si="1"/>
        <v>0</v>
      </c>
    </row>
    <row r="67" s="2" customFormat="1" ht="120" customHeight="1" spans="1:23">
      <c r="A67" s="11"/>
      <c r="B67" s="11"/>
      <c r="C67" s="11"/>
      <c r="D67" s="11"/>
      <c r="E67" s="20"/>
      <c r="F67" s="11" t="s">
        <v>465</v>
      </c>
      <c r="G67" s="26">
        <v>90.77</v>
      </c>
      <c r="H67" s="11" t="s">
        <v>466</v>
      </c>
      <c r="I67" s="27"/>
      <c r="J67" s="28"/>
      <c r="K67" s="27" t="s">
        <v>314</v>
      </c>
      <c r="L67" s="26">
        <v>5</v>
      </c>
      <c r="M67" s="28"/>
      <c r="N67" s="28">
        <v>80</v>
      </c>
      <c r="O67" s="28">
        <f t="shared" si="5"/>
        <v>40</v>
      </c>
      <c r="P67" s="35">
        <v>18154</v>
      </c>
      <c r="Q67" s="37"/>
      <c r="R67" s="38"/>
      <c r="S67" s="38"/>
      <c r="T67" s="38"/>
      <c r="U67" s="38"/>
      <c r="V67" s="2">
        <f t="shared" ref="V67:V129" si="6">L67*O67*G67</f>
        <v>18154</v>
      </c>
      <c r="W67" s="73">
        <f t="shared" ref="W67:W130" si="7">V67-P67</f>
        <v>0</v>
      </c>
    </row>
    <row r="68" s="2" customFormat="1" ht="120" customHeight="1" spans="1:23">
      <c r="A68" s="11"/>
      <c r="B68" s="11"/>
      <c r="C68" s="11"/>
      <c r="D68" s="11"/>
      <c r="E68" s="18"/>
      <c r="F68" s="11" t="s">
        <v>467</v>
      </c>
      <c r="G68" s="26">
        <v>93.35</v>
      </c>
      <c r="H68" s="11" t="s">
        <v>291</v>
      </c>
      <c r="I68" s="27"/>
      <c r="J68" s="28"/>
      <c r="K68" s="27" t="s">
        <v>314</v>
      </c>
      <c r="L68" s="26">
        <v>5</v>
      </c>
      <c r="M68" s="28"/>
      <c r="N68" s="28">
        <v>80</v>
      </c>
      <c r="O68" s="28">
        <f t="shared" si="5"/>
        <v>40</v>
      </c>
      <c r="P68" s="35">
        <v>18670</v>
      </c>
      <c r="Q68" s="37"/>
      <c r="R68" s="38"/>
      <c r="S68" s="38"/>
      <c r="T68" s="38"/>
      <c r="U68" s="38"/>
      <c r="V68" s="2">
        <f t="shared" si="6"/>
        <v>18670</v>
      </c>
      <c r="W68" s="73">
        <f t="shared" si="7"/>
        <v>0</v>
      </c>
    </row>
    <row r="69" s="2" customFormat="1" ht="300" customHeight="1" spans="1:23">
      <c r="A69" s="11">
        <v>37</v>
      </c>
      <c r="B69" s="11" t="s">
        <v>39</v>
      </c>
      <c r="C69" s="14" t="s">
        <v>468</v>
      </c>
      <c r="D69" s="14" t="s">
        <v>469</v>
      </c>
      <c r="E69" s="14" t="s">
        <v>154</v>
      </c>
      <c r="F69" s="14" t="s">
        <v>470</v>
      </c>
      <c r="G69" s="16">
        <v>8</v>
      </c>
      <c r="H69" s="11" t="s">
        <v>417</v>
      </c>
      <c r="I69" s="27" t="s">
        <v>157</v>
      </c>
      <c r="J69" s="28">
        <v>0</v>
      </c>
      <c r="K69" s="19" t="s">
        <v>418</v>
      </c>
      <c r="L69" s="16">
        <v>5.97741935483871</v>
      </c>
      <c r="M69" s="28">
        <v>5.97741935483871</v>
      </c>
      <c r="N69" s="28">
        <v>139</v>
      </c>
      <c r="O69" s="28">
        <v>60</v>
      </c>
      <c r="P69" s="33">
        <v>2869.16129032258</v>
      </c>
      <c r="Q69" s="37">
        <v>2869</v>
      </c>
      <c r="R69" s="38" t="s">
        <v>419</v>
      </c>
      <c r="S69" s="38" t="s">
        <v>420</v>
      </c>
      <c r="T69" s="38" t="s">
        <v>419</v>
      </c>
      <c r="U69" s="38" t="s">
        <v>421</v>
      </c>
      <c r="V69" s="2">
        <f t="shared" si="6"/>
        <v>2869.16129032258</v>
      </c>
      <c r="W69" s="73">
        <f t="shared" si="7"/>
        <v>0</v>
      </c>
    </row>
    <row r="70" s="2" customFormat="1" ht="150" customHeight="1" spans="1:23">
      <c r="A70" s="11">
        <v>38</v>
      </c>
      <c r="B70" s="11" t="s">
        <v>40</v>
      </c>
      <c r="C70" s="14" t="s">
        <v>471</v>
      </c>
      <c r="D70" s="11" t="s">
        <v>472</v>
      </c>
      <c r="E70" s="17" t="s">
        <v>154</v>
      </c>
      <c r="F70" s="11" t="s">
        <v>473</v>
      </c>
      <c r="G70" s="26">
        <v>297.78</v>
      </c>
      <c r="H70" s="11" t="s">
        <v>474</v>
      </c>
      <c r="I70" s="27" t="s">
        <v>220</v>
      </c>
      <c r="J70" s="28">
        <v>9.5</v>
      </c>
      <c r="K70" s="19" t="s">
        <v>475</v>
      </c>
      <c r="L70" s="16">
        <v>7</v>
      </c>
      <c r="M70" s="28">
        <v>21.5</v>
      </c>
      <c r="N70" s="28">
        <v>139</v>
      </c>
      <c r="O70" s="28">
        <v>60</v>
      </c>
      <c r="P70" s="33">
        <v>125067.6</v>
      </c>
      <c r="Q70" s="37">
        <v>300000</v>
      </c>
      <c r="R70" s="38" t="s">
        <v>476</v>
      </c>
      <c r="S70" s="38" t="s">
        <v>477</v>
      </c>
      <c r="T70" s="38" t="s">
        <v>476</v>
      </c>
      <c r="U70" s="38" t="s">
        <v>478</v>
      </c>
      <c r="V70" s="2">
        <f t="shared" si="6"/>
        <v>125067.6</v>
      </c>
      <c r="W70" s="73">
        <f t="shared" si="7"/>
        <v>0</v>
      </c>
    </row>
    <row r="71" s="2" customFormat="1" ht="150" customHeight="1" spans="1:23">
      <c r="A71" s="11"/>
      <c r="B71" s="11"/>
      <c r="C71" s="14"/>
      <c r="D71" s="11"/>
      <c r="E71" s="20"/>
      <c r="F71" s="11" t="s">
        <v>479</v>
      </c>
      <c r="G71" s="26">
        <v>297.78</v>
      </c>
      <c r="H71" s="11" t="s">
        <v>474</v>
      </c>
      <c r="I71" s="27"/>
      <c r="J71" s="28"/>
      <c r="K71" s="19" t="s">
        <v>475</v>
      </c>
      <c r="L71" s="16">
        <v>7</v>
      </c>
      <c r="M71" s="28"/>
      <c r="N71" s="28">
        <v>139</v>
      </c>
      <c r="O71" s="28">
        <v>60</v>
      </c>
      <c r="P71" s="33">
        <v>125067.6</v>
      </c>
      <c r="Q71" s="37"/>
      <c r="R71" s="38"/>
      <c r="S71" s="38"/>
      <c r="T71" s="38"/>
      <c r="U71" s="38"/>
      <c r="V71" s="2">
        <f t="shared" si="6"/>
        <v>125067.6</v>
      </c>
      <c r="W71" s="73">
        <f t="shared" si="7"/>
        <v>0</v>
      </c>
    </row>
    <row r="72" s="2" customFormat="1" ht="150" customHeight="1" spans="1:23">
      <c r="A72" s="11"/>
      <c r="B72" s="11"/>
      <c r="C72" s="14"/>
      <c r="D72" s="11"/>
      <c r="E72" s="18"/>
      <c r="F72" s="11" t="s">
        <v>480</v>
      </c>
      <c r="G72" s="26">
        <v>380.68</v>
      </c>
      <c r="H72" s="11" t="s">
        <v>481</v>
      </c>
      <c r="I72" s="27"/>
      <c r="J72" s="28"/>
      <c r="K72" s="19" t="s">
        <v>314</v>
      </c>
      <c r="L72" s="16">
        <v>5</v>
      </c>
      <c r="M72" s="28"/>
      <c r="N72" s="28">
        <v>147.47</v>
      </c>
      <c r="O72" s="28">
        <v>60</v>
      </c>
      <c r="P72" s="33">
        <v>114204</v>
      </c>
      <c r="Q72" s="37"/>
      <c r="R72" s="38"/>
      <c r="S72" s="38"/>
      <c r="T72" s="38"/>
      <c r="U72" s="38"/>
      <c r="V72" s="2">
        <f t="shared" si="6"/>
        <v>114204</v>
      </c>
      <c r="W72" s="73">
        <f t="shared" si="7"/>
        <v>0</v>
      </c>
    </row>
    <row r="73" s="2" customFormat="1" ht="150" customHeight="1" spans="1:23">
      <c r="A73" s="11">
        <v>39</v>
      </c>
      <c r="B73" s="14" t="s">
        <v>41</v>
      </c>
      <c r="C73" s="14" t="s">
        <v>482</v>
      </c>
      <c r="D73" s="14" t="s">
        <v>483</v>
      </c>
      <c r="E73" s="17" t="s">
        <v>154</v>
      </c>
      <c r="F73" s="14" t="s">
        <v>484</v>
      </c>
      <c r="G73" s="19">
        <v>40</v>
      </c>
      <c r="H73" s="11" t="s">
        <v>485</v>
      </c>
      <c r="I73" s="27" t="s">
        <v>157</v>
      </c>
      <c r="J73" s="28">
        <v>0</v>
      </c>
      <c r="K73" s="19" t="s">
        <v>485</v>
      </c>
      <c r="L73" s="16">
        <v>11.9802955665025</v>
      </c>
      <c r="M73" s="28">
        <v>16.4285714285715</v>
      </c>
      <c r="N73" s="28">
        <v>187.5</v>
      </c>
      <c r="O73" s="28">
        <v>60</v>
      </c>
      <c r="P73" s="33">
        <v>28752.7093596059</v>
      </c>
      <c r="Q73" s="37">
        <v>51098</v>
      </c>
      <c r="R73" s="38" t="s">
        <v>486</v>
      </c>
      <c r="S73" s="38" t="s">
        <v>487</v>
      </c>
      <c r="T73" s="38" t="s">
        <v>486</v>
      </c>
      <c r="U73" s="38" t="s">
        <v>488</v>
      </c>
      <c r="V73" s="2">
        <f t="shared" si="6"/>
        <v>28752.709359606</v>
      </c>
      <c r="W73" s="73">
        <f t="shared" si="7"/>
        <v>1.01863406598568e-10</v>
      </c>
    </row>
    <row r="74" s="2" customFormat="1" ht="150" customHeight="1" spans="1:23">
      <c r="A74" s="11"/>
      <c r="B74" s="14"/>
      <c r="C74" s="14"/>
      <c r="D74" s="14"/>
      <c r="E74" s="20"/>
      <c r="F74" s="14" t="s">
        <v>489</v>
      </c>
      <c r="G74" s="19">
        <v>16</v>
      </c>
      <c r="H74" s="11" t="s">
        <v>490</v>
      </c>
      <c r="I74" s="27"/>
      <c r="J74" s="28"/>
      <c r="K74" s="19" t="s">
        <v>490</v>
      </c>
      <c r="L74" s="16">
        <v>1.03559510567297</v>
      </c>
      <c r="M74" s="28"/>
      <c r="N74" s="28">
        <v>183.875</v>
      </c>
      <c r="O74" s="28">
        <v>60</v>
      </c>
      <c r="P74" s="33">
        <v>994.171301446051</v>
      </c>
      <c r="Q74" s="37"/>
      <c r="R74" s="38"/>
      <c r="S74" s="38"/>
      <c r="T74" s="38"/>
      <c r="U74" s="38"/>
      <c r="V74" s="2">
        <f t="shared" si="6"/>
        <v>994.171301446051</v>
      </c>
      <c r="W74" s="73">
        <f t="shared" si="7"/>
        <v>0</v>
      </c>
    </row>
    <row r="75" s="2" customFormat="1" ht="150" customHeight="1" spans="1:23">
      <c r="A75" s="11"/>
      <c r="B75" s="14"/>
      <c r="C75" s="14"/>
      <c r="D75" s="14"/>
      <c r="E75" s="18"/>
      <c r="F75" s="14" t="s">
        <v>491</v>
      </c>
      <c r="G75" s="19">
        <v>80</v>
      </c>
      <c r="H75" s="11" t="s">
        <v>492</v>
      </c>
      <c r="I75" s="27"/>
      <c r="J75" s="28"/>
      <c r="K75" s="19" t="s">
        <v>493</v>
      </c>
      <c r="L75" s="16">
        <v>4.44827586206897</v>
      </c>
      <c r="M75" s="28"/>
      <c r="N75" s="28">
        <v>187.5</v>
      </c>
      <c r="O75" s="28">
        <v>60</v>
      </c>
      <c r="P75" s="33">
        <v>21351.724137931</v>
      </c>
      <c r="Q75" s="37"/>
      <c r="R75" s="38"/>
      <c r="S75" s="38"/>
      <c r="T75" s="38"/>
      <c r="U75" s="38"/>
      <c r="V75" s="2">
        <f t="shared" si="6"/>
        <v>21351.7241379311</v>
      </c>
      <c r="W75" s="73">
        <f t="shared" si="7"/>
        <v>5.45696821063757e-11</v>
      </c>
    </row>
    <row r="76" s="2" customFormat="1" ht="150" customHeight="1" spans="1:23">
      <c r="A76" s="11">
        <v>40</v>
      </c>
      <c r="B76" s="14" t="s">
        <v>42</v>
      </c>
      <c r="C76" s="14" t="s">
        <v>494</v>
      </c>
      <c r="D76" s="14" t="s">
        <v>495</v>
      </c>
      <c r="E76" s="17" t="s">
        <v>154</v>
      </c>
      <c r="F76" s="14" t="s">
        <v>496</v>
      </c>
      <c r="G76" s="19">
        <v>1193.92</v>
      </c>
      <c r="H76" s="11" t="s">
        <v>497</v>
      </c>
      <c r="I76" s="27" t="s">
        <v>220</v>
      </c>
      <c r="J76" s="28">
        <v>9</v>
      </c>
      <c r="K76" s="19" t="s">
        <v>497</v>
      </c>
      <c r="L76" s="16">
        <v>5</v>
      </c>
      <c r="M76" s="28">
        <v>21</v>
      </c>
      <c r="N76" s="28">
        <v>139</v>
      </c>
      <c r="O76" s="28">
        <v>60</v>
      </c>
      <c r="P76" s="63">
        <f t="shared" ref="P76:P79" si="8">G76*L76*60</f>
        <v>358176</v>
      </c>
      <c r="Q76" s="37">
        <v>300000</v>
      </c>
      <c r="R76" s="38" t="s">
        <v>476</v>
      </c>
      <c r="S76" s="38" t="s">
        <v>477</v>
      </c>
      <c r="T76" s="38" t="s">
        <v>476</v>
      </c>
      <c r="U76" s="38" t="s">
        <v>478</v>
      </c>
      <c r="V76" s="2">
        <f t="shared" si="6"/>
        <v>358176</v>
      </c>
      <c r="W76" s="73">
        <f t="shared" si="7"/>
        <v>0</v>
      </c>
    </row>
    <row r="77" s="2" customFormat="1" ht="150" customHeight="1" spans="1:23">
      <c r="A77" s="11"/>
      <c r="B77" s="14"/>
      <c r="C77" s="14"/>
      <c r="D77" s="14"/>
      <c r="E77" s="20"/>
      <c r="F77" s="14" t="s">
        <v>498</v>
      </c>
      <c r="G77" s="19">
        <v>878.92</v>
      </c>
      <c r="H77" s="11" t="s">
        <v>499</v>
      </c>
      <c r="I77" s="27"/>
      <c r="J77" s="28"/>
      <c r="K77" s="19" t="s">
        <v>499</v>
      </c>
      <c r="L77" s="16">
        <v>7</v>
      </c>
      <c r="M77" s="28"/>
      <c r="N77" s="28">
        <v>139</v>
      </c>
      <c r="O77" s="28">
        <v>60</v>
      </c>
      <c r="P77" s="63">
        <f t="shared" si="8"/>
        <v>369146.4</v>
      </c>
      <c r="Q77" s="37"/>
      <c r="R77" s="38"/>
      <c r="S77" s="38"/>
      <c r="T77" s="38"/>
      <c r="U77" s="38"/>
      <c r="V77" s="2">
        <f t="shared" si="6"/>
        <v>369146.4</v>
      </c>
      <c r="W77" s="73">
        <f t="shared" si="7"/>
        <v>0</v>
      </c>
    </row>
    <row r="78" s="2" customFormat="1" ht="150" customHeight="1" spans="1:23">
      <c r="A78" s="11"/>
      <c r="B78" s="14"/>
      <c r="C78" s="14"/>
      <c r="D78" s="14"/>
      <c r="E78" s="20"/>
      <c r="F78" s="14" t="s">
        <v>500</v>
      </c>
      <c r="G78" s="19">
        <v>780</v>
      </c>
      <c r="H78" s="11" t="s">
        <v>501</v>
      </c>
      <c r="I78" s="27"/>
      <c r="J78" s="28"/>
      <c r="K78" s="19" t="s">
        <v>501</v>
      </c>
      <c r="L78" s="16">
        <v>1</v>
      </c>
      <c r="M78" s="28"/>
      <c r="N78" s="28">
        <v>147.47</v>
      </c>
      <c r="O78" s="28">
        <v>60</v>
      </c>
      <c r="P78" s="63">
        <f t="shared" si="8"/>
        <v>46800</v>
      </c>
      <c r="Q78" s="37"/>
      <c r="R78" s="38"/>
      <c r="S78" s="38"/>
      <c r="T78" s="38"/>
      <c r="U78" s="38"/>
      <c r="V78" s="2">
        <f t="shared" si="6"/>
        <v>46800</v>
      </c>
      <c r="W78" s="73">
        <f t="shared" si="7"/>
        <v>0</v>
      </c>
    </row>
    <row r="79" s="2" customFormat="1" ht="150" customHeight="1" spans="1:23">
      <c r="A79" s="11"/>
      <c r="B79" s="14"/>
      <c r="C79" s="14"/>
      <c r="D79" s="14"/>
      <c r="E79" s="18"/>
      <c r="F79" s="14" t="s">
        <v>500</v>
      </c>
      <c r="G79" s="19">
        <v>600</v>
      </c>
      <c r="H79" s="11" t="s">
        <v>502</v>
      </c>
      <c r="I79" s="27"/>
      <c r="J79" s="28"/>
      <c r="K79" s="19" t="s">
        <v>502</v>
      </c>
      <c r="L79" s="16">
        <v>1</v>
      </c>
      <c r="M79" s="28"/>
      <c r="N79" s="28">
        <v>147.47</v>
      </c>
      <c r="O79" s="28">
        <v>60</v>
      </c>
      <c r="P79" s="63">
        <f t="shared" si="8"/>
        <v>36000</v>
      </c>
      <c r="Q79" s="37"/>
      <c r="R79" s="38"/>
      <c r="S79" s="38"/>
      <c r="T79" s="38"/>
      <c r="U79" s="38"/>
      <c r="V79" s="2">
        <f t="shared" si="6"/>
        <v>36000</v>
      </c>
      <c r="W79" s="73">
        <f t="shared" si="7"/>
        <v>0</v>
      </c>
    </row>
    <row r="80" s="2" customFormat="1" ht="150" customHeight="1" spans="1:23">
      <c r="A80" s="11">
        <v>41</v>
      </c>
      <c r="B80" s="14" t="s">
        <v>43</v>
      </c>
      <c r="C80" s="14" t="s">
        <v>503</v>
      </c>
      <c r="D80" s="14" t="s">
        <v>504</v>
      </c>
      <c r="E80" s="17" t="s">
        <v>154</v>
      </c>
      <c r="F80" s="14" t="s">
        <v>505</v>
      </c>
      <c r="G80" s="19">
        <v>10</v>
      </c>
      <c r="H80" s="11" t="s">
        <v>257</v>
      </c>
      <c r="I80" s="27" t="s">
        <v>157</v>
      </c>
      <c r="J80" s="28">
        <v>0</v>
      </c>
      <c r="K80" s="19" t="s">
        <v>206</v>
      </c>
      <c r="L80" s="16">
        <v>6.48387096774194</v>
      </c>
      <c r="M80" s="28">
        <v>9.48387096774194</v>
      </c>
      <c r="N80" s="28">
        <v>150</v>
      </c>
      <c r="O80" s="28">
        <v>60</v>
      </c>
      <c r="P80" s="33">
        <v>3890.32258064516</v>
      </c>
      <c r="Q80" s="37">
        <v>5690</v>
      </c>
      <c r="R80" s="38" t="s">
        <v>506</v>
      </c>
      <c r="S80" s="38" t="s">
        <v>507</v>
      </c>
      <c r="T80" s="38" t="s">
        <v>506</v>
      </c>
      <c r="U80" s="38" t="s">
        <v>508</v>
      </c>
      <c r="V80" s="2">
        <f t="shared" si="6"/>
        <v>3890.32258064516</v>
      </c>
      <c r="W80" s="73">
        <f t="shared" si="7"/>
        <v>4.54747350886464e-12</v>
      </c>
    </row>
    <row r="81" s="2" customFormat="1" ht="150" customHeight="1" spans="1:23">
      <c r="A81" s="11"/>
      <c r="B81" s="14"/>
      <c r="C81" s="14"/>
      <c r="D81" s="14"/>
      <c r="E81" s="18"/>
      <c r="F81" s="14" t="s">
        <v>505</v>
      </c>
      <c r="G81" s="19">
        <v>10</v>
      </c>
      <c r="H81" s="11" t="s">
        <v>446</v>
      </c>
      <c r="I81" s="27"/>
      <c r="J81" s="28"/>
      <c r="K81" s="19" t="s">
        <v>446</v>
      </c>
      <c r="L81" s="16">
        <v>3</v>
      </c>
      <c r="M81" s="28"/>
      <c r="N81" s="28">
        <v>150</v>
      </c>
      <c r="O81" s="28">
        <v>60</v>
      </c>
      <c r="P81" s="33">
        <v>1800</v>
      </c>
      <c r="Q81" s="37"/>
      <c r="R81" s="38"/>
      <c r="S81" s="38"/>
      <c r="T81" s="38"/>
      <c r="U81" s="38"/>
      <c r="V81" s="2">
        <f t="shared" si="6"/>
        <v>1800</v>
      </c>
      <c r="W81" s="73">
        <f t="shared" si="7"/>
        <v>0</v>
      </c>
    </row>
    <row r="82" s="2" customFormat="1" ht="300" customHeight="1" spans="1:23">
      <c r="A82" s="11">
        <v>42</v>
      </c>
      <c r="B82" s="14" t="s">
        <v>44</v>
      </c>
      <c r="C82" s="14" t="s">
        <v>509</v>
      </c>
      <c r="D82" s="14" t="s">
        <v>510</v>
      </c>
      <c r="E82" s="13" t="s">
        <v>154</v>
      </c>
      <c r="F82" s="14" t="s">
        <v>511</v>
      </c>
      <c r="G82" s="19">
        <v>10</v>
      </c>
      <c r="H82" s="11" t="s">
        <v>512</v>
      </c>
      <c r="I82" s="27" t="s">
        <v>157</v>
      </c>
      <c r="J82" s="28">
        <v>0</v>
      </c>
      <c r="K82" s="19" t="s">
        <v>513</v>
      </c>
      <c r="L82" s="16">
        <v>9.36666666666667</v>
      </c>
      <c r="M82" s="28">
        <v>9.36666666666667</v>
      </c>
      <c r="N82" s="28">
        <v>150</v>
      </c>
      <c r="O82" s="28">
        <v>60</v>
      </c>
      <c r="P82" s="33">
        <v>5620</v>
      </c>
      <c r="Q82" s="37">
        <v>5620</v>
      </c>
      <c r="R82" s="38" t="s">
        <v>514</v>
      </c>
      <c r="S82" s="38" t="s">
        <v>515</v>
      </c>
      <c r="T82" s="38" t="s">
        <v>514</v>
      </c>
      <c r="U82" s="38" t="s">
        <v>516</v>
      </c>
      <c r="V82" s="2">
        <f t="shared" si="6"/>
        <v>5620</v>
      </c>
      <c r="W82" s="73">
        <f t="shared" si="7"/>
        <v>0</v>
      </c>
    </row>
    <row r="83" s="2" customFormat="1" ht="300" customHeight="1" spans="1:23">
      <c r="A83" s="11">
        <v>43</v>
      </c>
      <c r="B83" s="14" t="s">
        <v>45</v>
      </c>
      <c r="C83" s="14" t="s">
        <v>517</v>
      </c>
      <c r="D83" s="14" t="s">
        <v>518</v>
      </c>
      <c r="E83" s="13" t="s">
        <v>154</v>
      </c>
      <c r="F83" s="14" t="s">
        <v>519</v>
      </c>
      <c r="G83" s="19">
        <v>149.19</v>
      </c>
      <c r="H83" s="11" t="s">
        <v>520</v>
      </c>
      <c r="I83" s="27" t="s">
        <v>157</v>
      </c>
      <c r="J83" s="28">
        <v>0</v>
      </c>
      <c r="K83" s="19" t="s">
        <v>521</v>
      </c>
      <c r="L83" s="16">
        <v>5.54838709677419</v>
      </c>
      <c r="M83" s="28">
        <v>5.54838709677419</v>
      </c>
      <c r="N83" s="28">
        <v>80</v>
      </c>
      <c r="O83" s="28">
        <f t="shared" ref="O83:O87" si="9">N83*0.5</f>
        <v>40</v>
      </c>
      <c r="P83" s="33">
        <v>33110.5548387097</v>
      </c>
      <c r="Q83" s="37">
        <v>33110</v>
      </c>
      <c r="R83" s="38" t="s">
        <v>522</v>
      </c>
      <c r="S83" s="38" t="s">
        <v>523</v>
      </c>
      <c r="T83" s="38" t="s">
        <v>522</v>
      </c>
      <c r="U83" s="38" t="s">
        <v>524</v>
      </c>
      <c r="V83" s="2">
        <f t="shared" si="6"/>
        <v>33110.5548387097</v>
      </c>
      <c r="W83" s="73">
        <f t="shared" si="7"/>
        <v>0</v>
      </c>
    </row>
    <row r="84" s="2" customFormat="1" ht="300" customHeight="1" spans="1:23">
      <c r="A84" s="11">
        <v>44</v>
      </c>
      <c r="B84" s="15" t="s">
        <v>46</v>
      </c>
      <c r="C84" s="14" t="s">
        <v>525</v>
      </c>
      <c r="D84" s="15" t="s">
        <v>526</v>
      </c>
      <c r="E84" s="13" t="s">
        <v>154</v>
      </c>
      <c r="F84" s="14" t="s">
        <v>525</v>
      </c>
      <c r="G84" s="19">
        <v>86</v>
      </c>
      <c r="H84" s="11" t="s">
        <v>527</v>
      </c>
      <c r="I84" s="27" t="s">
        <v>157</v>
      </c>
      <c r="J84" s="28">
        <v>0</v>
      </c>
      <c r="K84" s="19" t="s">
        <v>528</v>
      </c>
      <c r="L84" s="16">
        <v>3.2258064516129</v>
      </c>
      <c r="M84" s="28">
        <v>3.2258064516129</v>
      </c>
      <c r="N84" s="28">
        <v>125</v>
      </c>
      <c r="O84" s="28">
        <v>60</v>
      </c>
      <c r="P84" s="33">
        <v>16645.1612903226</v>
      </c>
      <c r="Q84" s="37">
        <v>16645</v>
      </c>
      <c r="R84" s="38" t="s">
        <v>529</v>
      </c>
      <c r="S84" s="38" t="s">
        <v>530</v>
      </c>
      <c r="T84" s="38" t="s">
        <v>529</v>
      </c>
      <c r="U84" s="38" t="s">
        <v>531</v>
      </c>
      <c r="V84" s="2">
        <f t="shared" si="6"/>
        <v>16645.1612903226</v>
      </c>
      <c r="W84" s="73">
        <f t="shared" si="7"/>
        <v>-3.63797880709171e-11</v>
      </c>
    </row>
    <row r="85" s="2" customFormat="1" ht="100.05" customHeight="1" spans="1:23">
      <c r="A85" s="11">
        <v>45</v>
      </c>
      <c r="B85" s="14" t="s">
        <v>47</v>
      </c>
      <c r="C85" s="14" t="s">
        <v>532</v>
      </c>
      <c r="D85" s="14" t="s">
        <v>533</v>
      </c>
      <c r="E85" s="17" t="s">
        <v>154</v>
      </c>
      <c r="F85" s="14" t="s">
        <v>532</v>
      </c>
      <c r="G85" s="19">
        <v>118</v>
      </c>
      <c r="H85" s="11" t="s">
        <v>534</v>
      </c>
      <c r="I85" s="27" t="s">
        <v>157</v>
      </c>
      <c r="J85" s="28">
        <v>0</v>
      </c>
      <c r="K85" s="19" t="s">
        <v>535</v>
      </c>
      <c r="L85" s="16">
        <v>2.54838709677419</v>
      </c>
      <c r="M85" s="28">
        <v>13.5483870967742</v>
      </c>
      <c r="N85" s="28">
        <v>105</v>
      </c>
      <c r="O85" s="28">
        <f t="shared" si="9"/>
        <v>52.5</v>
      </c>
      <c r="P85" s="33">
        <v>15787.26</v>
      </c>
      <c r="Q85" s="37">
        <v>92782</v>
      </c>
      <c r="R85" s="38" t="s">
        <v>536</v>
      </c>
      <c r="S85" s="38" t="s">
        <v>537</v>
      </c>
      <c r="T85" s="38" t="s">
        <v>536</v>
      </c>
      <c r="U85" s="38" t="s">
        <v>538</v>
      </c>
      <c r="V85" s="2">
        <f t="shared" si="6"/>
        <v>15787.2580645161</v>
      </c>
      <c r="W85" s="73">
        <f t="shared" si="7"/>
        <v>-0.00193548389142961</v>
      </c>
    </row>
    <row r="86" s="2" customFormat="1" ht="100.05" customHeight="1" spans="1:23">
      <c r="A86" s="11"/>
      <c r="B86" s="14"/>
      <c r="C86" s="14"/>
      <c r="D86" s="14"/>
      <c r="E86" s="20"/>
      <c r="F86" s="14" t="s">
        <v>532</v>
      </c>
      <c r="G86" s="19">
        <v>118</v>
      </c>
      <c r="H86" s="11" t="s">
        <v>534</v>
      </c>
      <c r="I86" s="27"/>
      <c r="J86" s="28"/>
      <c r="K86" s="19" t="s">
        <v>539</v>
      </c>
      <c r="L86" s="16">
        <v>9.45161290322581</v>
      </c>
      <c r="M86" s="28"/>
      <c r="N86" s="39">
        <v>118.5</v>
      </c>
      <c r="O86" s="28">
        <f t="shared" si="9"/>
        <v>59.25</v>
      </c>
      <c r="P86" s="33">
        <v>66080.9516129032</v>
      </c>
      <c r="Q86" s="37"/>
      <c r="R86" s="38"/>
      <c r="S86" s="38"/>
      <c r="T86" s="38"/>
      <c r="U86" s="38"/>
      <c r="V86" s="2">
        <f t="shared" si="6"/>
        <v>66080.9516129033</v>
      </c>
      <c r="W86" s="73">
        <f t="shared" si="7"/>
        <v>0</v>
      </c>
    </row>
    <row r="87" s="2" customFormat="1" ht="100.05" customHeight="1" spans="1:23">
      <c r="A87" s="11"/>
      <c r="B87" s="14"/>
      <c r="C87" s="14"/>
      <c r="D87" s="14"/>
      <c r="E87" s="20"/>
      <c r="F87" s="14" t="s">
        <v>532</v>
      </c>
      <c r="G87" s="19">
        <v>118</v>
      </c>
      <c r="H87" s="11" t="s">
        <v>540</v>
      </c>
      <c r="I87" s="27"/>
      <c r="J87" s="28"/>
      <c r="K87" s="19" t="s">
        <v>541</v>
      </c>
      <c r="L87" s="16">
        <v>0.548387096774194</v>
      </c>
      <c r="M87" s="28"/>
      <c r="N87" s="39">
        <v>118.5</v>
      </c>
      <c r="O87" s="28">
        <f t="shared" si="9"/>
        <v>59.25</v>
      </c>
      <c r="P87" s="33">
        <v>3834.04838709677</v>
      </c>
      <c r="Q87" s="37"/>
      <c r="R87" s="38"/>
      <c r="S87" s="38"/>
      <c r="T87" s="38"/>
      <c r="U87" s="38"/>
      <c r="V87" s="2">
        <f t="shared" si="6"/>
        <v>3834.04838709678</v>
      </c>
      <c r="W87" s="73">
        <f t="shared" si="7"/>
        <v>6.82121026329696e-12</v>
      </c>
    </row>
    <row r="88" s="2" customFormat="1" ht="100.05" customHeight="1" spans="1:23">
      <c r="A88" s="11"/>
      <c r="B88" s="14"/>
      <c r="C88" s="14"/>
      <c r="D88" s="14"/>
      <c r="E88" s="18"/>
      <c r="F88" s="14" t="s">
        <v>532</v>
      </c>
      <c r="G88" s="19">
        <v>118</v>
      </c>
      <c r="H88" s="11" t="s">
        <v>540</v>
      </c>
      <c r="I88" s="27"/>
      <c r="J88" s="28"/>
      <c r="K88" s="19" t="s">
        <v>542</v>
      </c>
      <c r="L88" s="16">
        <v>1</v>
      </c>
      <c r="M88" s="28"/>
      <c r="N88" s="28">
        <v>123.499975423729</v>
      </c>
      <c r="O88" s="28">
        <v>60</v>
      </c>
      <c r="P88" s="33">
        <v>7080</v>
      </c>
      <c r="Q88" s="37"/>
      <c r="R88" s="38"/>
      <c r="S88" s="38"/>
      <c r="T88" s="38"/>
      <c r="U88" s="38"/>
      <c r="V88" s="2">
        <f t="shared" si="6"/>
        <v>7080</v>
      </c>
      <c r="W88" s="73">
        <f t="shared" si="7"/>
        <v>0</v>
      </c>
    </row>
    <row r="89" s="2" customFormat="1" ht="300" customHeight="1" spans="1:23">
      <c r="A89" s="11">
        <v>46</v>
      </c>
      <c r="B89" s="14" t="s">
        <v>48</v>
      </c>
      <c r="C89" s="14" t="s">
        <v>543</v>
      </c>
      <c r="D89" s="14" t="s">
        <v>544</v>
      </c>
      <c r="E89" s="14" t="s">
        <v>154</v>
      </c>
      <c r="F89" s="14" t="s">
        <v>545</v>
      </c>
      <c r="G89" s="19">
        <v>40</v>
      </c>
      <c r="H89" s="11" t="s">
        <v>546</v>
      </c>
      <c r="I89" s="27" t="s">
        <v>157</v>
      </c>
      <c r="J89" s="28">
        <v>0</v>
      </c>
      <c r="K89" s="19" t="s">
        <v>547</v>
      </c>
      <c r="L89" s="16">
        <v>6.54838709677419</v>
      </c>
      <c r="M89" s="28">
        <v>6.54838709677419</v>
      </c>
      <c r="N89" s="28">
        <v>220</v>
      </c>
      <c r="O89" s="28">
        <v>60</v>
      </c>
      <c r="P89" s="33">
        <v>15716.1290322581</v>
      </c>
      <c r="Q89" s="37">
        <v>15716</v>
      </c>
      <c r="R89" s="38" t="s">
        <v>548</v>
      </c>
      <c r="S89" s="38" t="s">
        <v>549</v>
      </c>
      <c r="T89" s="38" t="s">
        <v>548</v>
      </c>
      <c r="U89" s="38" t="s">
        <v>550</v>
      </c>
      <c r="V89" s="2">
        <f t="shared" si="6"/>
        <v>15716.1290322581</v>
      </c>
      <c r="W89" s="73">
        <f t="shared" si="7"/>
        <v>-4.36557456851006e-11</v>
      </c>
    </row>
    <row r="90" s="2" customFormat="1" ht="300" customHeight="1" spans="1:23">
      <c r="A90" s="11">
        <v>47</v>
      </c>
      <c r="B90" s="14" t="s">
        <v>49</v>
      </c>
      <c r="C90" s="14" t="s">
        <v>551</v>
      </c>
      <c r="D90" s="14" t="s">
        <v>552</v>
      </c>
      <c r="E90" s="13" t="s">
        <v>154</v>
      </c>
      <c r="F90" s="14" t="s">
        <v>553</v>
      </c>
      <c r="G90" s="19">
        <v>1350</v>
      </c>
      <c r="H90" s="11" t="s">
        <v>554</v>
      </c>
      <c r="I90" s="27" t="s">
        <v>157</v>
      </c>
      <c r="J90" s="28">
        <v>0</v>
      </c>
      <c r="K90" s="19" t="s">
        <v>346</v>
      </c>
      <c r="L90" s="16">
        <v>7.5</v>
      </c>
      <c r="M90" s="28">
        <v>7.5</v>
      </c>
      <c r="N90" s="28">
        <v>153</v>
      </c>
      <c r="O90" s="28">
        <v>60</v>
      </c>
      <c r="P90" s="33">
        <v>607500</v>
      </c>
      <c r="Q90" s="37">
        <v>300000</v>
      </c>
      <c r="R90" s="38" t="s">
        <v>476</v>
      </c>
      <c r="S90" s="38" t="s">
        <v>477</v>
      </c>
      <c r="T90" s="38" t="s">
        <v>476</v>
      </c>
      <c r="U90" s="38" t="s">
        <v>478</v>
      </c>
      <c r="V90" s="2">
        <f t="shared" si="6"/>
        <v>607500</v>
      </c>
      <c r="W90" s="73">
        <f t="shared" si="7"/>
        <v>0</v>
      </c>
    </row>
    <row r="91" s="2" customFormat="1" ht="150" customHeight="1" spans="1:23">
      <c r="A91" s="11">
        <v>48</v>
      </c>
      <c r="B91" s="14" t="s">
        <v>50</v>
      </c>
      <c r="C91" s="14" t="s">
        <v>555</v>
      </c>
      <c r="D91" s="14" t="s">
        <v>556</v>
      </c>
      <c r="E91" s="17" t="s">
        <v>154</v>
      </c>
      <c r="F91" s="14" t="s">
        <v>555</v>
      </c>
      <c r="G91" s="19">
        <v>40</v>
      </c>
      <c r="H91" s="11" t="s">
        <v>557</v>
      </c>
      <c r="I91" s="27" t="s">
        <v>220</v>
      </c>
      <c r="J91" s="28">
        <v>6.54838709677419</v>
      </c>
      <c r="K91" s="19" t="s">
        <v>558</v>
      </c>
      <c r="L91" s="16">
        <v>5.45161290322581</v>
      </c>
      <c r="M91" s="28">
        <v>18.5483870967742</v>
      </c>
      <c r="N91" s="28">
        <v>130</v>
      </c>
      <c r="O91" s="28">
        <v>60</v>
      </c>
      <c r="P91" s="33">
        <v>13083.8709677419</v>
      </c>
      <c r="Q91" s="37">
        <v>28800</v>
      </c>
      <c r="R91" s="38" t="s">
        <v>559</v>
      </c>
      <c r="S91" s="38" t="s">
        <v>560</v>
      </c>
      <c r="T91" s="38" t="s">
        <v>559</v>
      </c>
      <c r="U91" s="38" t="s">
        <v>561</v>
      </c>
      <c r="V91" s="2">
        <f t="shared" si="6"/>
        <v>13083.8709677419</v>
      </c>
      <c r="W91" s="73">
        <f t="shared" si="7"/>
        <v>4.36557456851006e-11</v>
      </c>
    </row>
    <row r="92" s="2" customFormat="1" ht="150" customHeight="1" spans="1:23">
      <c r="A92" s="11"/>
      <c r="B92" s="14"/>
      <c r="C92" s="14"/>
      <c r="D92" s="14"/>
      <c r="E92" s="18"/>
      <c r="F92" s="14" t="s">
        <v>555</v>
      </c>
      <c r="G92" s="19">
        <v>40</v>
      </c>
      <c r="H92" s="11" t="s">
        <v>546</v>
      </c>
      <c r="I92" s="27"/>
      <c r="J92" s="28"/>
      <c r="K92" s="19" t="s">
        <v>547</v>
      </c>
      <c r="L92" s="16">
        <v>6.54838709677419</v>
      </c>
      <c r="M92" s="28"/>
      <c r="N92" s="28">
        <v>130</v>
      </c>
      <c r="O92" s="28">
        <v>60</v>
      </c>
      <c r="P92" s="33">
        <v>15716.1290322581</v>
      </c>
      <c r="Q92" s="37"/>
      <c r="R92" s="38"/>
      <c r="S92" s="38"/>
      <c r="T92" s="38"/>
      <c r="U92" s="38"/>
      <c r="V92" s="2">
        <f t="shared" si="6"/>
        <v>15716.1290322581</v>
      </c>
      <c r="W92" s="73">
        <f t="shared" si="7"/>
        <v>-4.36557456851006e-11</v>
      </c>
    </row>
    <row r="93" s="2" customFormat="1" ht="300" customHeight="1" spans="1:23">
      <c r="A93" s="11">
        <v>49</v>
      </c>
      <c r="B93" s="14" t="s">
        <v>51</v>
      </c>
      <c r="C93" s="14" t="s">
        <v>562</v>
      </c>
      <c r="D93" s="14" t="s">
        <v>563</v>
      </c>
      <c r="E93" s="13" t="s">
        <v>154</v>
      </c>
      <c r="F93" s="14" t="s">
        <v>562</v>
      </c>
      <c r="G93" s="19">
        <v>8.5</v>
      </c>
      <c r="H93" s="11" t="s">
        <v>564</v>
      </c>
      <c r="I93" s="27" t="s">
        <v>157</v>
      </c>
      <c r="J93" s="28">
        <v>0</v>
      </c>
      <c r="K93" s="19" t="s">
        <v>565</v>
      </c>
      <c r="L93" s="16">
        <f>22/31+8</f>
        <v>8.70967741935484</v>
      </c>
      <c r="M93" s="28">
        <v>8.70967741935484</v>
      </c>
      <c r="N93" s="28">
        <f>1000/8.5</f>
        <v>117.647058823529</v>
      </c>
      <c r="O93" s="28">
        <f>N93*0.5</f>
        <v>58.8235294117647</v>
      </c>
      <c r="P93" s="33">
        <f>G93*L93*O93</f>
        <v>4354.83870967742</v>
      </c>
      <c r="Q93" s="37">
        <v>4354</v>
      </c>
      <c r="R93" s="38" t="s">
        <v>566</v>
      </c>
      <c r="S93" s="38" t="s">
        <v>567</v>
      </c>
      <c r="T93" s="38" t="s">
        <v>566</v>
      </c>
      <c r="U93" s="38" t="s">
        <v>568</v>
      </c>
      <c r="V93" s="2">
        <f t="shared" si="6"/>
        <v>4354.83870967742</v>
      </c>
      <c r="W93" s="73">
        <f t="shared" si="7"/>
        <v>0</v>
      </c>
    </row>
    <row r="94" s="2" customFormat="1" ht="300" customHeight="1" spans="1:23">
      <c r="A94" s="11">
        <v>50</v>
      </c>
      <c r="B94" s="14" t="s">
        <v>52</v>
      </c>
      <c r="C94" s="14" t="s">
        <v>569</v>
      </c>
      <c r="D94" s="14" t="s">
        <v>570</v>
      </c>
      <c r="E94" s="13" t="s">
        <v>154</v>
      </c>
      <c r="F94" s="14" t="s">
        <v>571</v>
      </c>
      <c r="G94" s="19">
        <v>323.84</v>
      </c>
      <c r="H94" s="11" t="s">
        <v>572</v>
      </c>
      <c r="I94" s="27" t="s">
        <v>157</v>
      </c>
      <c r="J94" s="28">
        <v>0</v>
      </c>
      <c r="K94" s="19" t="s">
        <v>573</v>
      </c>
      <c r="L94" s="16">
        <v>6.25806451612903</v>
      </c>
      <c r="M94" s="28">
        <v>6.25806451612903</v>
      </c>
      <c r="N94" s="28">
        <v>80</v>
      </c>
      <c r="O94" s="28">
        <f>N94*0.5</f>
        <v>40</v>
      </c>
      <c r="P94" s="33">
        <v>81064.464516129</v>
      </c>
      <c r="Q94" s="37">
        <v>81064</v>
      </c>
      <c r="R94" s="38" t="s">
        <v>574</v>
      </c>
      <c r="S94" s="38" t="s">
        <v>575</v>
      </c>
      <c r="T94" s="38" t="s">
        <v>574</v>
      </c>
      <c r="U94" s="38" t="s">
        <v>576</v>
      </c>
      <c r="V94" s="2">
        <f t="shared" si="6"/>
        <v>81064.464516129</v>
      </c>
      <c r="W94" s="73">
        <f t="shared" si="7"/>
        <v>0</v>
      </c>
    </row>
    <row r="95" s="2" customFormat="1" ht="150" customHeight="1" spans="1:23">
      <c r="A95" s="11">
        <v>51</v>
      </c>
      <c r="B95" s="14" t="s">
        <v>53</v>
      </c>
      <c r="C95" s="14" t="s">
        <v>577</v>
      </c>
      <c r="D95" s="14" t="s">
        <v>578</v>
      </c>
      <c r="E95" s="17" t="s">
        <v>154</v>
      </c>
      <c r="F95" s="14" t="s">
        <v>577</v>
      </c>
      <c r="G95" s="19">
        <v>104</v>
      </c>
      <c r="H95" s="11" t="s">
        <v>579</v>
      </c>
      <c r="I95" s="27" t="s">
        <v>220</v>
      </c>
      <c r="J95" s="28">
        <v>0</v>
      </c>
      <c r="K95" s="19" t="s">
        <v>579</v>
      </c>
      <c r="L95" s="16">
        <v>12</v>
      </c>
      <c r="M95" s="28">
        <v>15</v>
      </c>
      <c r="N95" s="28">
        <v>120</v>
      </c>
      <c r="O95" s="28">
        <v>60</v>
      </c>
      <c r="P95" s="33">
        <v>74880</v>
      </c>
      <c r="Q95" s="37">
        <v>93600</v>
      </c>
      <c r="R95" s="38" t="s">
        <v>580</v>
      </c>
      <c r="S95" s="38" t="s">
        <v>581</v>
      </c>
      <c r="T95" s="38" t="s">
        <v>580</v>
      </c>
      <c r="U95" s="38" t="s">
        <v>582</v>
      </c>
      <c r="V95" s="2">
        <f t="shared" si="6"/>
        <v>74880</v>
      </c>
      <c r="W95" s="73">
        <f t="shared" si="7"/>
        <v>0</v>
      </c>
    </row>
    <row r="96" s="2" customFormat="1" ht="150" customHeight="1" spans="1:23">
      <c r="A96" s="11"/>
      <c r="B96" s="14"/>
      <c r="C96" s="14"/>
      <c r="D96" s="14"/>
      <c r="E96" s="18"/>
      <c r="F96" s="14" t="s">
        <v>577</v>
      </c>
      <c r="G96" s="19">
        <v>104</v>
      </c>
      <c r="H96" s="11" t="s">
        <v>272</v>
      </c>
      <c r="I96" s="27"/>
      <c r="J96" s="28"/>
      <c r="K96" s="19" t="s">
        <v>273</v>
      </c>
      <c r="L96" s="16">
        <v>3</v>
      </c>
      <c r="M96" s="28"/>
      <c r="N96" s="28">
        <v>120</v>
      </c>
      <c r="O96" s="28">
        <v>60</v>
      </c>
      <c r="P96" s="33">
        <v>18720</v>
      </c>
      <c r="Q96" s="37"/>
      <c r="R96" s="38"/>
      <c r="S96" s="38"/>
      <c r="T96" s="38"/>
      <c r="U96" s="38"/>
      <c r="V96" s="2">
        <f t="shared" si="6"/>
        <v>18720</v>
      </c>
      <c r="W96" s="73">
        <f t="shared" si="7"/>
        <v>0</v>
      </c>
    </row>
    <row r="97" s="2" customFormat="1" ht="100.05" customHeight="1" spans="1:23">
      <c r="A97" s="11">
        <v>52</v>
      </c>
      <c r="B97" s="14" t="s">
        <v>54</v>
      </c>
      <c r="C97" s="14" t="s">
        <v>583</v>
      </c>
      <c r="D97" s="14" t="s">
        <v>584</v>
      </c>
      <c r="E97" s="21" t="s">
        <v>154</v>
      </c>
      <c r="F97" s="14" t="s">
        <v>585</v>
      </c>
      <c r="G97" s="19">
        <v>800</v>
      </c>
      <c r="H97" s="11" t="s">
        <v>497</v>
      </c>
      <c r="I97" s="27" t="s">
        <v>220</v>
      </c>
      <c r="J97" s="28">
        <v>12</v>
      </c>
      <c r="K97" s="19" t="s">
        <v>497</v>
      </c>
      <c r="L97" s="16">
        <v>5</v>
      </c>
      <c r="M97" s="28">
        <v>24</v>
      </c>
      <c r="N97" s="28">
        <v>139</v>
      </c>
      <c r="O97" s="28">
        <v>60</v>
      </c>
      <c r="P97" s="33">
        <v>240000</v>
      </c>
      <c r="Q97" s="37">
        <v>300000</v>
      </c>
      <c r="R97" s="38" t="s">
        <v>476</v>
      </c>
      <c r="S97" s="38" t="s">
        <v>477</v>
      </c>
      <c r="T97" s="38" t="s">
        <v>476</v>
      </c>
      <c r="U97" s="38" t="s">
        <v>478</v>
      </c>
      <c r="V97" s="2">
        <f t="shared" si="6"/>
        <v>240000</v>
      </c>
      <c r="W97" s="73">
        <f t="shared" si="7"/>
        <v>0</v>
      </c>
    </row>
    <row r="98" s="2" customFormat="1" ht="100.05" customHeight="1" spans="1:23">
      <c r="A98" s="11"/>
      <c r="B98" s="14"/>
      <c r="C98" s="14"/>
      <c r="D98" s="14"/>
      <c r="E98" s="23"/>
      <c r="F98" s="14" t="s">
        <v>586</v>
      </c>
      <c r="G98" s="19">
        <v>400</v>
      </c>
      <c r="H98" s="11" t="s">
        <v>587</v>
      </c>
      <c r="I98" s="27"/>
      <c r="J98" s="28"/>
      <c r="K98" s="19" t="s">
        <v>587</v>
      </c>
      <c r="L98" s="16">
        <v>2</v>
      </c>
      <c r="M98" s="28"/>
      <c r="N98" s="28">
        <v>139</v>
      </c>
      <c r="O98" s="28">
        <v>60</v>
      </c>
      <c r="P98" s="33">
        <v>48000</v>
      </c>
      <c r="Q98" s="37"/>
      <c r="R98" s="38"/>
      <c r="S98" s="38"/>
      <c r="T98" s="38"/>
      <c r="U98" s="38"/>
      <c r="V98" s="2">
        <f t="shared" si="6"/>
        <v>48000</v>
      </c>
      <c r="W98" s="73">
        <f t="shared" si="7"/>
        <v>0</v>
      </c>
    </row>
    <row r="99" s="2" customFormat="1" ht="100.05" customHeight="1" spans="1:23">
      <c r="A99" s="11"/>
      <c r="B99" s="14"/>
      <c r="C99" s="14"/>
      <c r="D99" s="14"/>
      <c r="E99" s="22"/>
      <c r="F99" s="14" t="s">
        <v>585</v>
      </c>
      <c r="G99" s="19">
        <v>45</v>
      </c>
      <c r="H99" s="11" t="s">
        <v>588</v>
      </c>
      <c r="I99" s="27"/>
      <c r="J99" s="28"/>
      <c r="K99" s="19" t="s">
        <v>314</v>
      </c>
      <c r="L99" s="16">
        <v>5</v>
      </c>
      <c r="M99" s="28"/>
      <c r="N99" s="28">
        <v>139</v>
      </c>
      <c r="O99" s="28">
        <v>60</v>
      </c>
      <c r="P99" s="33">
        <v>13500</v>
      </c>
      <c r="Q99" s="37"/>
      <c r="R99" s="38"/>
      <c r="S99" s="38"/>
      <c r="T99" s="38"/>
      <c r="U99" s="38"/>
      <c r="V99" s="2">
        <f t="shared" si="6"/>
        <v>13500</v>
      </c>
      <c r="W99" s="73">
        <f t="shared" si="7"/>
        <v>0</v>
      </c>
    </row>
    <row r="100" s="2" customFormat="1" ht="120" customHeight="1" spans="1:23">
      <c r="A100" s="11">
        <v>53</v>
      </c>
      <c r="B100" s="14" t="s">
        <v>55</v>
      </c>
      <c r="C100" s="14" t="s">
        <v>589</v>
      </c>
      <c r="D100" s="14" t="s">
        <v>590</v>
      </c>
      <c r="E100" s="21" t="s">
        <v>154</v>
      </c>
      <c r="F100" s="14" t="s">
        <v>586</v>
      </c>
      <c r="G100" s="19">
        <v>590</v>
      </c>
      <c r="H100" s="11" t="s">
        <v>591</v>
      </c>
      <c r="I100" s="27" t="s">
        <v>157</v>
      </c>
      <c r="J100" s="28">
        <v>0</v>
      </c>
      <c r="K100" s="19" t="s">
        <v>591</v>
      </c>
      <c r="L100" s="16">
        <v>4</v>
      </c>
      <c r="M100" s="28">
        <v>9</v>
      </c>
      <c r="N100" s="28">
        <v>147.47</v>
      </c>
      <c r="O100" s="28">
        <v>60</v>
      </c>
      <c r="P100" s="33">
        <v>141600</v>
      </c>
      <c r="Q100" s="37">
        <v>206504</v>
      </c>
      <c r="R100" s="38" t="s">
        <v>592</v>
      </c>
      <c r="S100" s="38" t="s">
        <v>593</v>
      </c>
      <c r="T100" s="38" t="s">
        <v>592</v>
      </c>
      <c r="U100" s="38" t="s">
        <v>594</v>
      </c>
      <c r="V100" s="2">
        <f t="shared" si="6"/>
        <v>141600</v>
      </c>
      <c r="W100" s="73">
        <f t="shared" si="7"/>
        <v>0</v>
      </c>
    </row>
    <row r="101" s="2" customFormat="1" ht="120" customHeight="1" spans="1:23">
      <c r="A101" s="11"/>
      <c r="B101" s="14"/>
      <c r="C101" s="14"/>
      <c r="D101" s="14"/>
      <c r="E101" s="23"/>
      <c r="F101" s="14" t="s">
        <v>595</v>
      </c>
      <c r="G101" s="19">
        <v>30</v>
      </c>
      <c r="H101" s="11" t="s">
        <v>596</v>
      </c>
      <c r="I101" s="27"/>
      <c r="J101" s="28"/>
      <c r="K101" s="19" t="s">
        <v>314</v>
      </c>
      <c r="L101" s="16">
        <v>5</v>
      </c>
      <c r="M101" s="28"/>
      <c r="N101" s="28">
        <v>147.47</v>
      </c>
      <c r="O101" s="28">
        <v>60</v>
      </c>
      <c r="P101" s="33">
        <v>9000</v>
      </c>
      <c r="Q101" s="37"/>
      <c r="R101" s="38"/>
      <c r="S101" s="38"/>
      <c r="T101" s="38"/>
      <c r="U101" s="38"/>
      <c r="V101" s="2">
        <f t="shared" si="6"/>
        <v>9000</v>
      </c>
      <c r="W101" s="73">
        <f t="shared" si="7"/>
        <v>0</v>
      </c>
    </row>
    <row r="102" s="2" customFormat="1" ht="120" customHeight="1" spans="1:23">
      <c r="A102" s="11"/>
      <c r="B102" s="14"/>
      <c r="C102" s="14"/>
      <c r="D102" s="14"/>
      <c r="E102" s="22"/>
      <c r="F102" s="14" t="s">
        <v>597</v>
      </c>
      <c r="G102" s="19">
        <v>213.43</v>
      </c>
      <c r="H102" s="11" t="s">
        <v>598</v>
      </c>
      <c r="I102" s="27"/>
      <c r="J102" s="28"/>
      <c r="K102" s="19" t="s">
        <v>547</v>
      </c>
      <c r="L102" s="16">
        <v>6.54838709677419</v>
      </c>
      <c r="M102" s="28"/>
      <c r="N102" s="28">
        <v>80</v>
      </c>
      <c r="O102" s="28">
        <f t="shared" ref="O102:O108" si="10">N102*0.5</f>
        <v>40</v>
      </c>
      <c r="P102" s="33">
        <v>55904.8903225806</v>
      </c>
      <c r="Q102" s="37"/>
      <c r="R102" s="38"/>
      <c r="S102" s="38"/>
      <c r="T102" s="38"/>
      <c r="U102" s="38"/>
      <c r="V102" s="2">
        <f t="shared" si="6"/>
        <v>55904.8903225806</v>
      </c>
      <c r="W102" s="73">
        <f t="shared" si="7"/>
        <v>0</v>
      </c>
    </row>
    <row r="103" s="2" customFormat="1" ht="300" customHeight="1" spans="1:23">
      <c r="A103" s="11">
        <v>54</v>
      </c>
      <c r="B103" s="14" t="s">
        <v>56</v>
      </c>
      <c r="C103" s="14" t="s">
        <v>599</v>
      </c>
      <c r="D103" s="14" t="s">
        <v>600</v>
      </c>
      <c r="E103" s="14" t="s">
        <v>154</v>
      </c>
      <c r="F103" s="14" t="s">
        <v>601</v>
      </c>
      <c r="G103" s="19">
        <v>299.82</v>
      </c>
      <c r="H103" s="11" t="s">
        <v>546</v>
      </c>
      <c r="I103" s="27" t="s">
        <v>157</v>
      </c>
      <c r="J103" s="28">
        <v>0</v>
      </c>
      <c r="K103" s="19" t="s">
        <v>602</v>
      </c>
      <c r="L103" s="16">
        <v>6</v>
      </c>
      <c r="M103" s="28">
        <v>6</v>
      </c>
      <c r="N103" s="28">
        <v>107.16</v>
      </c>
      <c r="O103" s="28">
        <f t="shared" si="10"/>
        <v>53.58</v>
      </c>
      <c r="P103" s="33">
        <v>96386.1336</v>
      </c>
      <c r="Q103" s="37">
        <v>96386</v>
      </c>
      <c r="R103" s="38" t="s">
        <v>603</v>
      </c>
      <c r="S103" s="38" t="s">
        <v>604</v>
      </c>
      <c r="T103" s="38" t="s">
        <v>603</v>
      </c>
      <c r="U103" s="38" t="s">
        <v>605</v>
      </c>
      <c r="V103" s="2">
        <f t="shared" si="6"/>
        <v>96386.1336</v>
      </c>
      <c r="W103" s="73">
        <f t="shared" si="7"/>
        <v>0</v>
      </c>
    </row>
    <row r="104" s="2" customFormat="1" ht="150" customHeight="1" spans="1:23">
      <c r="A104" s="11">
        <v>55</v>
      </c>
      <c r="B104" s="14" t="s">
        <v>57</v>
      </c>
      <c r="C104" s="14" t="s">
        <v>606</v>
      </c>
      <c r="D104" s="14" t="s">
        <v>607</v>
      </c>
      <c r="E104" s="21" t="s">
        <v>154</v>
      </c>
      <c r="F104" s="14" t="s">
        <v>608</v>
      </c>
      <c r="G104" s="19">
        <v>82.2</v>
      </c>
      <c r="H104" s="11" t="s">
        <v>609</v>
      </c>
      <c r="I104" s="27" t="s">
        <v>220</v>
      </c>
      <c r="J104" s="28">
        <v>2.63333333333333</v>
      </c>
      <c r="K104" s="19" t="s">
        <v>609</v>
      </c>
      <c r="L104" s="16">
        <v>6</v>
      </c>
      <c r="M104" s="28">
        <v>14.6333333333333</v>
      </c>
      <c r="N104" s="28">
        <v>139.902676399027</v>
      </c>
      <c r="O104" s="28">
        <v>60</v>
      </c>
      <c r="P104" s="33">
        <v>29592</v>
      </c>
      <c r="Q104" s="37">
        <v>56409</v>
      </c>
      <c r="R104" s="38" t="s">
        <v>610</v>
      </c>
      <c r="S104" s="38" t="s">
        <v>611</v>
      </c>
      <c r="T104" s="38" t="s">
        <v>610</v>
      </c>
      <c r="U104" s="38" t="s">
        <v>612</v>
      </c>
      <c r="V104" s="2">
        <f t="shared" si="6"/>
        <v>29592</v>
      </c>
      <c r="W104" s="73">
        <f t="shared" si="7"/>
        <v>0</v>
      </c>
    </row>
    <row r="105" s="2" customFormat="1" ht="150" customHeight="1" spans="1:23">
      <c r="A105" s="11"/>
      <c r="B105" s="14"/>
      <c r="C105" s="14"/>
      <c r="D105" s="14"/>
      <c r="E105" s="23"/>
      <c r="F105" s="14" t="s">
        <v>608</v>
      </c>
      <c r="G105" s="19">
        <v>82.2</v>
      </c>
      <c r="H105" s="11" t="s">
        <v>613</v>
      </c>
      <c r="I105" s="27"/>
      <c r="J105" s="28"/>
      <c r="K105" s="19" t="s">
        <v>614</v>
      </c>
      <c r="L105" s="16">
        <v>5</v>
      </c>
      <c r="M105" s="28"/>
      <c r="N105" s="28">
        <v>139.902676399027</v>
      </c>
      <c r="O105" s="28">
        <v>60</v>
      </c>
      <c r="P105" s="33">
        <v>24660</v>
      </c>
      <c r="Q105" s="37"/>
      <c r="R105" s="38"/>
      <c r="S105" s="38"/>
      <c r="T105" s="38"/>
      <c r="U105" s="38"/>
      <c r="V105" s="2">
        <f t="shared" si="6"/>
        <v>24660</v>
      </c>
      <c r="W105" s="73">
        <f t="shared" si="7"/>
        <v>0</v>
      </c>
    </row>
    <row r="106" s="2" customFormat="1" ht="150" customHeight="1" spans="1:23">
      <c r="A106" s="11"/>
      <c r="B106" s="14"/>
      <c r="C106" s="14"/>
      <c r="D106" s="14"/>
      <c r="E106" s="22"/>
      <c r="F106" s="14" t="s">
        <v>615</v>
      </c>
      <c r="G106" s="19">
        <v>35.96</v>
      </c>
      <c r="H106" s="11" t="s">
        <v>616</v>
      </c>
      <c r="I106" s="27"/>
      <c r="J106" s="28"/>
      <c r="K106" s="19" t="s">
        <v>542</v>
      </c>
      <c r="L106" s="16">
        <v>1</v>
      </c>
      <c r="M106" s="28"/>
      <c r="N106" s="28">
        <v>139.043381535039</v>
      </c>
      <c r="O106" s="28">
        <v>60</v>
      </c>
      <c r="P106" s="33">
        <v>2157.6</v>
      </c>
      <c r="Q106" s="37"/>
      <c r="R106" s="38"/>
      <c r="S106" s="38"/>
      <c r="T106" s="38"/>
      <c r="U106" s="38"/>
      <c r="V106" s="2">
        <f t="shared" si="6"/>
        <v>2157.6</v>
      </c>
      <c r="W106" s="73">
        <f t="shared" si="7"/>
        <v>0</v>
      </c>
    </row>
    <row r="107" s="2" customFormat="1" ht="150" customHeight="1" spans="1:23">
      <c r="A107" s="11">
        <v>56</v>
      </c>
      <c r="B107" s="14" t="s">
        <v>58</v>
      </c>
      <c r="C107" s="14" t="s">
        <v>617</v>
      </c>
      <c r="D107" s="14" t="s">
        <v>618</v>
      </c>
      <c r="E107" s="21" t="s">
        <v>154</v>
      </c>
      <c r="F107" s="14" t="s">
        <v>619</v>
      </c>
      <c r="G107" s="19">
        <v>354.5</v>
      </c>
      <c r="H107" s="11" t="s">
        <v>620</v>
      </c>
      <c r="I107" s="27" t="s">
        <v>157</v>
      </c>
      <c r="J107" s="28">
        <v>0</v>
      </c>
      <c r="K107" s="19" t="s">
        <v>621</v>
      </c>
      <c r="L107" s="16">
        <v>4</v>
      </c>
      <c r="M107" s="28">
        <v>10</v>
      </c>
      <c r="N107" s="28">
        <v>113.32</v>
      </c>
      <c r="O107" s="28">
        <f t="shared" si="10"/>
        <v>56.66</v>
      </c>
      <c r="P107" s="33">
        <v>80343.88</v>
      </c>
      <c r="Q107" s="37">
        <v>202646</v>
      </c>
      <c r="R107" s="38" t="s">
        <v>622</v>
      </c>
      <c r="S107" s="38" t="s">
        <v>623</v>
      </c>
      <c r="T107" s="38" t="s">
        <v>622</v>
      </c>
      <c r="U107" s="38" t="s">
        <v>624</v>
      </c>
      <c r="V107" s="2">
        <f t="shared" si="6"/>
        <v>80343.88</v>
      </c>
      <c r="W107" s="73">
        <f t="shared" si="7"/>
        <v>0</v>
      </c>
    </row>
    <row r="108" s="2" customFormat="1" ht="150" customHeight="1" spans="1:23">
      <c r="A108" s="11"/>
      <c r="B108" s="14"/>
      <c r="C108" s="14"/>
      <c r="D108" s="14"/>
      <c r="E108" s="22"/>
      <c r="F108" s="14" t="s">
        <v>619</v>
      </c>
      <c r="G108" s="19">
        <v>354.5</v>
      </c>
      <c r="H108" s="11" t="s">
        <v>244</v>
      </c>
      <c r="I108" s="27"/>
      <c r="J108" s="28"/>
      <c r="K108" s="19" t="s">
        <v>602</v>
      </c>
      <c r="L108" s="16">
        <v>6</v>
      </c>
      <c r="M108" s="28"/>
      <c r="N108" s="28">
        <v>115</v>
      </c>
      <c r="O108" s="28">
        <f t="shared" si="10"/>
        <v>57.5</v>
      </c>
      <c r="P108" s="33">
        <v>122302.5</v>
      </c>
      <c r="Q108" s="37"/>
      <c r="R108" s="38"/>
      <c r="S108" s="38"/>
      <c r="T108" s="38"/>
      <c r="U108" s="38"/>
      <c r="V108" s="2">
        <f t="shared" si="6"/>
        <v>122302.5</v>
      </c>
      <c r="W108" s="73">
        <f t="shared" si="7"/>
        <v>0</v>
      </c>
    </row>
    <row r="109" s="2" customFormat="1" ht="120" customHeight="1" spans="1:23">
      <c r="A109" s="11">
        <v>57</v>
      </c>
      <c r="B109" s="14" t="s">
        <v>59</v>
      </c>
      <c r="C109" s="14" t="s">
        <v>625</v>
      </c>
      <c r="D109" s="14" t="s">
        <v>626</v>
      </c>
      <c r="E109" s="21" t="s">
        <v>154</v>
      </c>
      <c r="F109" s="14" t="s">
        <v>627</v>
      </c>
      <c r="G109" s="19">
        <v>1150</v>
      </c>
      <c r="H109" s="11" t="s">
        <v>628</v>
      </c>
      <c r="I109" s="27" t="s">
        <v>220</v>
      </c>
      <c r="J109" s="28">
        <v>6</v>
      </c>
      <c r="K109" s="19" t="s">
        <v>628</v>
      </c>
      <c r="L109" s="19">
        <v>3</v>
      </c>
      <c r="M109" s="28">
        <v>18</v>
      </c>
      <c r="N109" s="28">
        <v>139</v>
      </c>
      <c r="O109" s="28">
        <v>60</v>
      </c>
      <c r="P109" s="34">
        <v>207000</v>
      </c>
      <c r="Q109" s="37">
        <v>300000</v>
      </c>
      <c r="R109" s="38" t="s">
        <v>476</v>
      </c>
      <c r="S109" s="38" t="s">
        <v>477</v>
      </c>
      <c r="T109" s="38" t="s">
        <v>476</v>
      </c>
      <c r="U109" s="38" t="s">
        <v>478</v>
      </c>
      <c r="V109" s="2">
        <f t="shared" si="6"/>
        <v>207000</v>
      </c>
      <c r="W109" s="73">
        <f t="shared" si="7"/>
        <v>0</v>
      </c>
    </row>
    <row r="110" s="2" customFormat="1" ht="120" customHeight="1" spans="1:23">
      <c r="A110" s="11"/>
      <c r="B110" s="14"/>
      <c r="C110" s="14"/>
      <c r="D110" s="14"/>
      <c r="E110" s="23"/>
      <c r="F110" s="14" t="s">
        <v>627</v>
      </c>
      <c r="G110" s="19">
        <v>560</v>
      </c>
      <c r="H110" s="11" t="s">
        <v>629</v>
      </c>
      <c r="I110" s="27"/>
      <c r="J110" s="28"/>
      <c r="K110" s="19" t="s">
        <v>629</v>
      </c>
      <c r="L110" s="19">
        <v>2</v>
      </c>
      <c r="M110" s="28"/>
      <c r="N110" s="28">
        <v>139</v>
      </c>
      <c r="O110" s="28">
        <v>60</v>
      </c>
      <c r="P110" s="34">
        <v>67200</v>
      </c>
      <c r="Q110" s="37"/>
      <c r="R110" s="38"/>
      <c r="S110" s="38"/>
      <c r="T110" s="38"/>
      <c r="U110" s="38"/>
      <c r="V110" s="2">
        <f t="shared" si="6"/>
        <v>67200</v>
      </c>
      <c r="W110" s="73">
        <f t="shared" si="7"/>
        <v>0</v>
      </c>
    </row>
    <row r="111" s="2" customFormat="1" ht="120" customHeight="1" spans="1:23">
      <c r="A111" s="11"/>
      <c r="B111" s="14"/>
      <c r="C111" s="14"/>
      <c r="D111" s="14"/>
      <c r="E111" s="22"/>
      <c r="F111" s="14" t="s">
        <v>627</v>
      </c>
      <c r="G111" s="19">
        <v>65</v>
      </c>
      <c r="H111" s="11" t="s">
        <v>630</v>
      </c>
      <c r="I111" s="27"/>
      <c r="J111" s="28"/>
      <c r="K111" s="19" t="s">
        <v>499</v>
      </c>
      <c r="L111" s="19">
        <v>7</v>
      </c>
      <c r="M111" s="28"/>
      <c r="N111" s="28">
        <v>139</v>
      </c>
      <c r="O111" s="28">
        <v>60</v>
      </c>
      <c r="P111" s="34">
        <v>27300</v>
      </c>
      <c r="Q111" s="37"/>
      <c r="R111" s="38"/>
      <c r="S111" s="38"/>
      <c r="T111" s="38"/>
      <c r="U111" s="38"/>
      <c r="V111" s="2">
        <f t="shared" si="6"/>
        <v>27300</v>
      </c>
      <c r="W111" s="73">
        <f t="shared" si="7"/>
        <v>0</v>
      </c>
    </row>
    <row r="112" s="2" customFormat="1" ht="120" customHeight="1" spans="1:23">
      <c r="A112" s="11">
        <v>58</v>
      </c>
      <c r="B112" s="14" t="s">
        <v>60</v>
      </c>
      <c r="C112" s="14" t="s">
        <v>631</v>
      </c>
      <c r="D112" s="14" t="s">
        <v>632</v>
      </c>
      <c r="E112" s="17" t="s">
        <v>154</v>
      </c>
      <c r="F112" s="14" t="s">
        <v>633</v>
      </c>
      <c r="G112" s="19">
        <v>810</v>
      </c>
      <c r="H112" s="11" t="s">
        <v>497</v>
      </c>
      <c r="I112" s="27" t="s">
        <v>220</v>
      </c>
      <c r="J112" s="28">
        <v>8</v>
      </c>
      <c r="K112" s="19" t="s">
        <v>497</v>
      </c>
      <c r="L112" s="19">
        <v>5</v>
      </c>
      <c r="M112" s="28">
        <v>20</v>
      </c>
      <c r="N112" s="28">
        <v>139</v>
      </c>
      <c r="O112" s="28">
        <v>60</v>
      </c>
      <c r="P112" s="34">
        <v>243000</v>
      </c>
      <c r="Q112" s="37">
        <v>300000</v>
      </c>
      <c r="R112" s="38" t="s">
        <v>476</v>
      </c>
      <c r="S112" s="38" t="s">
        <v>477</v>
      </c>
      <c r="T112" s="38" t="s">
        <v>476</v>
      </c>
      <c r="U112" s="38" t="s">
        <v>478</v>
      </c>
      <c r="V112" s="2">
        <f t="shared" si="6"/>
        <v>243000</v>
      </c>
      <c r="W112" s="73">
        <f t="shared" si="7"/>
        <v>0</v>
      </c>
    </row>
    <row r="113" s="2" customFormat="1" ht="120" customHeight="1" spans="1:23">
      <c r="A113" s="11"/>
      <c r="B113" s="14"/>
      <c r="C113" s="14"/>
      <c r="D113" s="14"/>
      <c r="E113" s="20"/>
      <c r="F113" s="14" t="s">
        <v>634</v>
      </c>
      <c r="G113" s="19">
        <v>810</v>
      </c>
      <c r="H113" s="11" t="s">
        <v>635</v>
      </c>
      <c r="I113" s="27"/>
      <c r="J113" s="28"/>
      <c r="K113" s="19" t="s">
        <v>635</v>
      </c>
      <c r="L113" s="19">
        <v>1</v>
      </c>
      <c r="M113" s="28"/>
      <c r="N113" s="28">
        <v>139</v>
      </c>
      <c r="O113" s="28">
        <v>60</v>
      </c>
      <c r="P113" s="34">
        <v>48600</v>
      </c>
      <c r="Q113" s="37"/>
      <c r="R113" s="38"/>
      <c r="S113" s="38"/>
      <c r="T113" s="38"/>
      <c r="U113" s="38"/>
      <c r="V113" s="2">
        <f t="shared" si="6"/>
        <v>48600</v>
      </c>
      <c r="W113" s="73">
        <f t="shared" si="7"/>
        <v>0</v>
      </c>
    </row>
    <row r="114" s="2" customFormat="1" ht="120" customHeight="1" spans="1:23">
      <c r="A114" s="11"/>
      <c r="B114" s="14"/>
      <c r="C114" s="14"/>
      <c r="D114" s="14"/>
      <c r="E114" s="18"/>
      <c r="F114" s="14" t="s">
        <v>633</v>
      </c>
      <c r="G114" s="19">
        <v>30</v>
      </c>
      <c r="H114" s="11" t="s">
        <v>636</v>
      </c>
      <c r="I114" s="27"/>
      <c r="J114" s="28"/>
      <c r="K114" s="19" t="s">
        <v>602</v>
      </c>
      <c r="L114" s="19">
        <v>6</v>
      </c>
      <c r="M114" s="28"/>
      <c r="N114" s="28">
        <v>139</v>
      </c>
      <c r="O114" s="28">
        <v>60</v>
      </c>
      <c r="P114" s="34">
        <v>10800</v>
      </c>
      <c r="Q114" s="37"/>
      <c r="R114" s="38"/>
      <c r="S114" s="38"/>
      <c r="T114" s="38"/>
      <c r="U114" s="38"/>
      <c r="V114" s="2">
        <f t="shared" si="6"/>
        <v>10800</v>
      </c>
      <c r="W114" s="73">
        <f t="shared" si="7"/>
        <v>0</v>
      </c>
    </row>
    <row r="115" s="2" customFormat="1" ht="150" customHeight="1" spans="1:23">
      <c r="A115" s="11">
        <v>59</v>
      </c>
      <c r="B115" s="14" t="s">
        <v>61</v>
      </c>
      <c r="C115" s="14" t="s">
        <v>637</v>
      </c>
      <c r="D115" s="14" t="s">
        <v>638</v>
      </c>
      <c r="E115" s="17" t="s">
        <v>154</v>
      </c>
      <c r="F115" s="14" t="s">
        <v>639</v>
      </c>
      <c r="G115" s="19">
        <v>139.92</v>
      </c>
      <c r="H115" s="11" t="s">
        <v>269</v>
      </c>
      <c r="I115" s="27" t="s">
        <v>157</v>
      </c>
      <c r="J115" s="28">
        <v>0</v>
      </c>
      <c r="K115" s="19" t="s">
        <v>269</v>
      </c>
      <c r="L115" s="19">
        <v>2</v>
      </c>
      <c r="M115" s="28">
        <v>8</v>
      </c>
      <c r="N115" s="28">
        <v>87.42</v>
      </c>
      <c r="O115" s="28">
        <f t="shared" ref="O115:O118" si="11">N115*0.5</f>
        <v>43.71</v>
      </c>
      <c r="P115" s="34">
        <v>12231.8064</v>
      </c>
      <c r="Q115" s="37">
        <v>50028</v>
      </c>
      <c r="R115" s="38" t="s">
        <v>640</v>
      </c>
      <c r="S115" s="38" t="s">
        <v>641</v>
      </c>
      <c r="T115" s="38" t="s">
        <v>640</v>
      </c>
      <c r="U115" s="38" t="s">
        <v>642</v>
      </c>
      <c r="V115" s="2">
        <f t="shared" si="6"/>
        <v>12231.8064</v>
      </c>
      <c r="W115" s="73">
        <f t="shared" si="7"/>
        <v>0</v>
      </c>
    </row>
    <row r="116" s="2" customFormat="1" ht="150" customHeight="1" spans="1:23">
      <c r="A116" s="11"/>
      <c r="B116" s="14"/>
      <c r="C116" s="14"/>
      <c r="D116" s="14"/>
      <c r="E116" s="18"/>
      <c r="F116" s="14" t="s">
        <v>639</v>
      </c>
      <c r="G116" s="19">
        <v>139.92</v>
      </c>
      <c r="H116" s="11" t="s">
        <v>643</v>
      </c>
      <c r="I116" s="27"/>
      <c r="J116" s="28"/>
      <c r="K116" s="19" t="s">
        <v>602</v>
      </c>
      <c r="L116" s="19">
        <v>6</v>
      </c>
      <c r="M116" s="28"/>
      <c r="N116" s="28">
        <v>90.0426</v>
      </c>
      <c r="O116" s="28">
        <f t="shared" si="11"/>
        <v>45.0213</v>
      </c>
      <c r="P116" s="34">
        <v>37796.281776</v>
      </c>
      <c r="Q116" s="37"/>
      <c r="R116" s="38"/>
      <c r="S116" s="38"/>
      <c r="T116" s="38"/>
      <c r="U116" s="38"/>
      <c r="V116" s="2">
        <f t="shared" si="6"/>
        <v>37796.281776</v>
      </c>
      <c r="W116" s="73">
        <f t="shared" si="7"/>
        <v>0</v>
      </c>
    </row>
    <row r="117" s="2" customFormat="1" ht="300" customHeight="1" spans="1:23">
      <c r="A117" s="11">
        <v>60</v>
      </c>
      <c r="B117" s="14" t="s">
        <v>62</v>
      </c>
      <c r="C117" s="14" t="s">
        <v>644</v>
      </c>
      <c r="D117" s="14" t="s">
        <v>645</v>
      </c>
      <c r="E117" s="13" t="s">
        <v>154</v>
      </c>
      <c r="F117" s="14" t="s">
        <v>646</v>
      </c>
      <c r="G117" s="19">
        <v>10</v>
      </c>
      <c r="H117" s="11" t="s">
        <v>647</v>
      </c>
      <c r="I117" s="27" t="s">
        <v>157</v>
      </c>
      <c r="J117" s="28">
        <v>0</v>
      </c>
      <c r="K117" s="19" t="s">
        <v>648</v>
      </c>
      <c r="L117" s="19">
        <v>5.29032258064516</v>
      </c>
      <c r="M117" s="28">
        <v>5.29032258064516</v>
      </c>
      <c r="N117" s="28">
        <v>100</v>
      </c>
      <c r="O117" s="28">
        <f t="shared" si="11"/>
        <v>50</v>
      </c>
      <c r="P117" s="34">
        <v>2645.16129032258</v>
      </c>
      <c r="Q117" s="37">
        <v>2645</v>
      </c>
      <c r="R117" s="38" t="s">
        <v>649</v>
      </c>
      <c r="S117" s="38" t="s">
        <v>650</v>
      </c>
      <c r="T117" s="38" t="s">
        <v>649</v>
      </c>
      <c r="U117" s="38" t="s">
        <v>651</v>
      </c>
      <c r="V117" s="2">
        <f t="shared" si="6"/>
        <v>2645.16129032258</v>
      </c>
      <c r="W117" s="73">
        <f t="shared" si="7"/>
        <v>0</v>
      </c>
    </row>
    <row r="118" s="2" customFormat="1" ht="300" customHeight="1" spans="1:23">
      <c r="A118" s="11">
        <v>61</v>
      </c>
      <c r="B118" s="14" t="s">
        <v>63</v>
      </c>
      <c r="C118" s="14" t="s">
        <v>652</v>
      </c>
      <c r="D118" s="14" t="s">
        <v>653</v>
      </c>
      <c r="E118" s="13" t="s">
        <v>154</v>
      </c>
      <c r="F118" s="14" t="s">
        <v>654</v>
      </c>
      <c r="G118" s="19">
        <v>290.95</v>
      </c>
      <c r="H118" s="11" t="s">
        <v>655</v>
      </c>
      <c r="I118" s="27" t="s">
        <v>220</v>
      </c>
      <c r="J118" s="28">
        <v>12</v>
      </c>
      <c r="K118" s="19" t="s">
        <v>265</v>
      </c>
      <c r="L118" s="19">
        <v>4</v>
      </c>
      <c r="M118" s="28">
        <v>16</v>
      </c>
      <c r="N118" s="28">
        <v>86.5236638597697</v>
      </c>
      <c r="O118" s="28">
        <f t="shared" si="11"/>
        <v>43.2618319298848</v>
      </c>
      <c r="P118" s="34">
        <v>50348.12</v>
      </c>
      <c r="Q118" s="37">
        <v>50348</v>
      </c>
      <c r="R118" s="38" t="s">
        <v>656</v>
      </c>
      <c r="S118" s="38" t="s">
        <v>657</v>
      </c>
      <c r="T118" s="38" t="s">
        <v>656</v>
      </c>
      <c r="U118" s="38" t="s">
        <v>658</v>
      </c>
      <c r="V118" s="2">
        <f t="shared" si="6"/>
        <v>50348.12</v>
      </c>
      <c r="W118" s="73">
        <f t="shared" si="7"/>
        <v>0</v>
      </c>
    </row>
    <row r="119" s="2" customFormat="1" ht="300" customHeight="1" spans="1:23">
      <c r="A119" s="11">
        <v>62</v>
      </c>
      <c r="B119" s="14" t="s">
        <v>64</v>
      </c>
      <c r="C119" s="14" t="s">
        <v>659</v>
      </c>
      <c r="D119" s="14" t="s">
        <v>660</v>
      </c>
      <c r="E119" s="13" t="s">
        <v>154</v>
      </c>
      <c r="F119" s="14" t="s">
        <v>661</v>
      </c>
      <c r="G119" s="19">
        <v>20</v>
      </c>
      <c r="H119" s="11" t="s">
        <v>662</v>
      </c>
      <c r="I119" s="27" t="s">
        <v>157</v>
      </c>
      <c r="J119" s="28">
        <v>0</v>
      </c>
      <c r="K119" s="19" t="s">
        <v>663</v>
      </c>
      <c r="L119" s="19">
        <v>10.2258064516129</v>
      </c>
      <c r="M119" s="28">
        <v>10.2258064516129</v>
      </c>
      <c r="N119" s="28">
        <v>130</v>
      </c>
      <c r="O119" s="28">
        <v>60</v>
      </c>
      <c r="P119" s="34">
        <v>12270.9677419355</v>
      </c>
      <c r="Q119" s="37">
        <v>12270</v>
      </c>
      <c r="R119" s="38" t="s">
        <v>664</v>
      </c>
      <c r="S119" s="38" t="s">
        <v>665</v>
      </c>
      <c r="T119" s="38" t="s">
        <v>664</v>
      </c>
      <c r="U119" s="38" t="s">
        <v>666</v>
      </c>
      <c r="V119" s="2">
        <f t="shared" si="6"/>
        <v>12270.9677419355</v>
      </c>
      <c r="W119" s="73">
        <f t="shared" si="7"/>
        <v>-1.81898940354586e-11</v>
      </c>
    </row>
    <row r="120" s="2" customFormat="1" ht="150" customHeight="1" spans="1:23">
      <c r="A120" s="11">
        <v>63</v>
      </c>
      <c r="B120" s="14" t="s">
        <v>65</v>
      </c>
      <c r="C120" s="14" t="s">
        <v>667</v>
      </c>
      <c r="D120" s="14" t="s">
        <v>668</v>
      </c>
      <c r="E120" s="17" t="s">
        <v>154</v>
      </c>
      <c r="F120" s="14" t="s">
        <v>669</v>
      </c>
      <c r="G120" s="19">
        <v>690</v>
      </c>
      <c r="H120" s="11" t="s">
        <v>475</v>
      </c>
      <c r="I120" s="27" t="s">
        <v>220</v>
      </c>
      <c r="J120" s="28">
        <v>9</v>
      </c>
      <c r="K120" s="19" t="s">
        <v>475</v>
      </c>
      <c r="L120" s="19">
        <v>7</v>
      </c>
      <c r="M120" s="28">
        <v>21</v>
      </c>
      <c r="N120" s="28">
        <v>139</v>
      </c>
      <c r="O120" s="28">
        <v>60</v>
      </c>
      <c r="P120" s="34">
        <v>289800</v>
      </c>
      <c r="Q120" s="37">
        <v>300000</v>
      </c>
      <c r="R120" s="38" t="s">
        <v>476</v>
      </c>
      <c r="S120" s="38" t="s">
        <v>477</v>
      </c>
      <c r="T120" s="38" t="s">
        <v>476</v>
      </c>
      <c r="U120" s="38" t="s">
        <v>478</v>
      </c>
      <c r="V120" s="2">
        <f t="shared" si="6"/>
        <v>289800</v>
      </c>
      <c r="W120" s="73">
        <f t="shared" si="7"/>
        <v>0</v>
      </c>
    </row>
    <row r="121" s="2" customFormat="1" ht="150" customHeight="1" spans="1:23">
      <c r="A121" s="11"/>
      <c r="B121" s="14"/>
      <c r="C121" s="14"/>
      <c r="D121" s="14"/>
      <c r="E121" s="18"/>
      <c r="F121" s="14" t="s">
        <v>670</v>
      </c>
      <c r="G121" s="19">
        <v>40</v>
      </c>
      <c r="H121" s="11" t="s">
        <v>671</v>
      </c>
      <c r="I121" s="27"/>
      <c r="J121" s="28"/>
      <c r="K121" s="19" t="s">
        <v>314</v>
      </c>
      <c r="L121" s="19">
        <v>5</v>
      </c>
      <c r="M121" s="28"/>
      <c r="N121" s="28">
        <v>139</v>
      </c>
      <c r="O121" s="28">
        <v>60</v>
      </c>
      <c r="P121" s="34">
        <v>12000</v>
      </c>
      <c r="Q121" s="37"/>
      <c r="R121" s="38"/>
      <c r="S121" s="38"/>
      <c r="T121" s="38"/>
      <c r="U121" s="38"/>
      <c r="V121" s="2">
        <f t="shared" si="6"/>
        <v>12000</v>
      </c>
      <c r="W121" s="73">
        <f t="shared" si="7"/>
        <v>0</v>
      </c>
    </row>
    <row r="122" s="2" customFormat="1" ht="300" customHeight="1" spans="1:23">
      <c r="A122" s="11">
        <v>64</v>
      </c>
      <c r="B122" s="14" t="s">
        <v>66</v>
      </c>
      <c r="C122" s="14" t="s">
        <v>672</v>
      </c>
      <c r="D122" s="14" t="s">
        <v>673</v>
      </c>
      <c r="E122" s="13" t="s">
        <v>154</v>
      </c>
      <c r="F122" s="14" t="s">
        <v>674</v>
      </c>
      <c r="G122" s="19">
        <v>353</v>
      </c>
      <c r="H122" s="11" t="s">
        <v>675</v>
      </c>
      <c r="I122" s="27" t="s">
        <v>220</v>
      </c>
      <c r="J122" s="28">
        <v>6</v>
      </c>
      <c r="K122" s="19" t="s">
        <v>676</v>
      </c>
      <c r="L122" s="19">
        <v>10</v>
      </c>
      <c r="M122" s="28">
        <v>16</v>
      </c>
      <c r="N122" s="28">
        <v>140</v>
      </c>
      <c r="O122" s="28">
        <v>60</v>
      </c>
      <c r="P122" s="34">
        <v>211800</v>
      </c>
      <c r="Q122" s="37">
        <v>211800</v>
      </c>
      <c r="R122" s="38" t="s">
        <v>677</v>
      </c>
      <c r="S122" s="38" t="s">
        <v>678</v>
      </c>
      <c r="T122" s="38" t="s">
        <v>677</v>
      </c>
      <c r="U122" s="38" t="s">
        <v>679</v>
      </c>
      <c r="V122" s="2">
        <f t="shared" si="6"/>
        <v>211800</v>
      </c>
      <c r="W122" s="73">
        <f t="shared" si="7"/>
        <v>0</v>
      </c>
    </row>
    <row r="123" s="2" customFormat="1" ht="150" customHeight="1" spans="1:23">
      <c r="A123" s="11">
        <v>65</v>
      </c>
      <c r="B123" s="14" t="s">
        <v>67</v>
      </c>
      <c r="C123" s="14" t="s">
        <v>680</v>
      </c>
      <c r="D123" s="14" t="s">
        <v>681</v>
      </c>
      <c r="E123" s="17" t="s">
        <v>154</v>
      </c>
      <c r="F123" s="14" t="s">
        <v>682</v>
      </c>
      <c r="G123" s="19">
        <v>843.72</v>
      </c>
      <c r="H123" s="11" t="s">
        <v>683</v>
      </c>
      <c r="I123" s="27" t="s">
        <v>220</v>
      </c>
      <c r="J123" s="28">
        <v>3</v>
      </c>
      <c r="K123" s="19" t="s">
        <v>684</v>
      </c>
      <c r="L123" s="19">
        <v>10</v>
      </c>
      <c r="M123" s="28">
        <v>15</v>
      </c>
      <c r="N123" s="28">
        <v>143.17</v>
      </c>
      <c r="O123" s="28">
        <v>60</v>
      </c>
      <c r="P123" s="34">
        <v>506232</v>
      </c>
      <c r="Q123" s="37">
        <v>300000</v>
      </c>
      <c r="R123" s="38" t="s">
        <v>476</v>
      </c>
      <c r="S123" s="38" t="s">
        <v>477</v>
      </c>
      <c r="T123" s="38" t="s">
        <v>476</v>
      </c>
      <c r="U123" s="38" t="s">
        <v>478</v>
      </c>
      <c r="V123" s="2">
        <f t="shared" si="6"/>
        <v>506232</v>
      </c>
      <c r="W123" s="73">
        <f t="shared" si="7"/>
        <v>0</v>
      </c>
    </row>
    <row r="124" s="2" customFormat="1" ht="150" customHeight="1" spans="1:23">
      <c r="A124" s="11"/>
      <c r="B124" s="14"/>
      <c r="C124" s="14"/>
      <c r="D124" s="14"/>
      <c r="E124" s="18"/>
      <c r="F124" s="14" t="s">
        <v>682</v>
      </c>
      <c r="G124" s="19">
        <v>8</v>
      </c>
      <c r="H124" s="11" t="s">
        <v>685</v>
      </c>
      <c r="I124" s="27"/>
      <c r="J124" s="28"/>
      <c r="K124" s="19" t="s">
        <v>228</v>
      </c>
      <c r="L124" s="19">
        <v>2</v>
      </c>
      <c r="M124" s="28"/>
      <c r="N124" s="28">
        <v>225</v>
      </c>
      <c r="O124" s="28">
        <v>60</v>
      </c>
      <c r="P124" s="34">
        <v>960</v>
      </c>
      <c r="Q124" s="37"/>
      <c r="R124" s="38"/>
      <c r="S124" s="38"/>
      <c r="T124" s="38"/>
      <c r="U124" s="38"/>
      <c r="V124" s="2">
        <f t="shared" si="6"/>
        <v>960</v>
      </c>
      <c r="W124" s="73">
        <f t="shared" si="7"/>
        <v>0</v>
      </c>
    </row>
    <row r="125" s="2" customFormat="1" ht="150" customHeight="1" spans="1:23">
      <c r="A125" s="11">
        <v>66</v>
      </c>
      <c r="B125" s="14" t="s">
        <v>68</v>
      </c>
      <c r="C125" s="14" t="s">
        <v>686</v>
      </c>
      <c r="D125" s="14" t="s">
        <v>687</v>
      </c>
      <c r="E125" s="17" t="s">
        <v>154</v>
      </c>
      <c r="F125" s="14" t="s">
        <v>688</v>
      </c>
      <c r="G125" s="19">
        <v>523.8</v>
      </c>
      <c r="H125" s="11" t="s">
        <v>689</v>
      </c>
      <c r="I125" s="27" t="s">
        <v>157</v>
      </c>
      <c r="J125" s="28">
        <v>0</v>
      </c>
      <c r="K125" s="19" t="s">
        <v>690</v>
      </c>
      <c r="L125" s="19">
        <v>0.3</v>
      </c>
      <c r="M125" s="28">
        <v>12.3</v>
      </c>
      <c r="N125" s="28">
        <v>168</v>
      </c>
      <c r="O125" s="28">
        <v>60</v>
      </c>
      <c r="P125" s="34">
        <v>9428.4</v>
      </c>
      <c r="Q125" s="37">
        <v>309428</v>
      </c>
      <c r="R125" s="38" t="s">
        <v>691</v>
      </c>
      <c r="S125" s="38" t="s">
        <v>692</v>
      </c>
      <c r="T125" s="38" t="s">
        <v>691</v>
      </c>
      <c r="U125" s="38" t="s">
        <v>693</v>
      </c>
      <c r="V125" s="2">
        <f t="shared" si="6"/>
        <v>9428.4</v>
      </c>
      <c r="W125" s="73">
        <f t="shared" si="7"/>
        <v>0</v>
      </c>
    </row>
    <row r="126" s="2" customFormat="1" ht="150" customHeight="1" spans="1:23">
      <c r="A126" s="11"/>
      <c r="B126" s="14"/>
      <c r="C126" s="14"/>
      <c r="D126" s="14"/>
      <c r="E126" s="20"/>
      <c r="F126" s="14" t="s">
        <v>688</v>
      </c>
      <c r="G126" s="19">
        <v>523.8</v>
      </c>
      <c r="H126" s="11" t="s">
        <v>689</v>
      </c>
      <c r="I126" s="27"/>
      <c r="J126" s="28"/>
      <c r="K126" s="19" t="s">
        <v>694</v>
      </c>
      <c r="L126" s="19">
        <v>11</v>
      </c>
      <c r="M126" s="28"/>
      <c r="N126" s="28">
        <v>168</v>
      </c>
      <c r="O126" s="28">
        <v>60</v>
      </c>
      <c r="P126" s="34">
        <v>345708</v>
      </c>
      <c r="Q126" s="37"/>
      <c r="R126" s="38"/>
      <c r="S126" s="38"/>
      <c r="T126" s="38"/>
      <c r="U126" s="38"/>
      <c r="V126" s="2">
        <f t="shared" si="6"/>
        <v>345708</v>
      </c>
      <c r="W126" s="73">
        <f t="shared" si="7"/>
        <v>0</v>
      </c>
    </row>
    <row r="127" s="2" customFormat="1" ht="150" customHeight="1" spans="1:23">
      <c r="A127" s="11"/>
      <c r="B127" s="14"/>
      <c r="C127" s="14"/>
      <c r="D127" s="14"/>
      <c r="E127" s="20"/>
      <c r="F127" s="14" t="s">
        <v>688</v>
      </c>
      <c r="G127" s="19">
        <v>523.8</v>
      </c>
      <c r="H127" s="11" t="s">
        <v>695</v>
      </c>
      <c r="I127" s="27"/>
      <c r="J127" s="28"/>
      <c r="K127" s="19" t="s">
        <v>542</v>
      </c>
      <c r="L127" s="19">
        <v>1</v>
      </c>
      <c r="M127" s="28"/>
      <c r="N127" s="28">
        <v>139</v>
      </c>
      <c r="O127" s="28">
        <v>60</v>
      </c>
      <c r="P127" s="34">
        <v>31428</v>
      </c>
      <c r="Q127" s="37"/>
      <c r="R127" s="38"/>
      <c r="S127" s="38"/>
      <c r="T127" s="38"/>
      <c r="U127" s="38"/>
      <c r="V127" s="2">
        <f t="shared" si="6"/>
        <v>31428</v>
      </c>
      <c r="W127" s="73">
        <f t="shared" si="7"/>
        <v>0</v>
      </c>
    </row>
    <row r="128" s="2" customFormat="1" ht="150" customHeight="1" spans="1:23">
      <c r="A128" s="11"/>
      <c r="B128" s="14"/>
      <c r="C128" s="14"/>
      <c r="D128" s="14"/>
      <c r="E128" s="18"/>
      <c r="F128" s="14" t="s">
        <v>696</v>
      </c>
      <c r="G128" s="19">
        <v>195.37</v>
      </c>
      <c r="H128" s="11" t="s">
        <v>697</v>
      </c>
      <c r="I128" s="27"/>
      <c r="J128" s="28"/>
      <c r="K128" s="19" t="s">
        <v>602</v>
      </c>
      <c r="L128" s="19">
        <v>6</v>
      </c>
      <c r="M128" s="28"/>
      <c r="N128" s="39">
        <v>76</v>
      </c>
      <c r="O128" s="28">
        <f>N128*0.5</f>
        <v>38</v>
      </c>
      <c r="P128" s="34">
        <v>44544.36</v>
      </c>
      <c r="Q128" s="37"/>
      <c r="R128" s="38"/>
      <c r="S128" s="38"/>
      <c r="T128" s="38"/>
      <c r="U128" s="38"/>
      <c r="V128" s="2">
        <f t="shared" si="6"/>
        <v>44544.36</v>
      </c>
      <c r="W128" s="73">
        <f t="shared" si="7"/>
        <v>0</v>
      </c>
    </row>
    <row r="129" ht="150" customHeight="1" spans="1:23">
      <c r="A129" s="11">
        <v>67</v>
      </c>
      <c r="B129" s="11" t="s">
        <v>69</v>
      </c>
      <c r="C129" s="11" t="s">
        <v>698</v>
      </c>
      <c r="D129" s="11" t="s">
        <v>699</v>
      </c>
      <c r="E129" s="17" t="s">
        <v>154</v>
      </c>
      <c r="F129" s="11" t="s">
        <v>700</v>
      </c>
      <c r="G129" s="27">
        <v>44</v>
      </c>
      <c r="H129" s="11" t="s">
        <v>684</v>
      </c>
      <c r="I129" s="11" t="s">
        <v>157</v>
      </c>
      <c r="J129" s="28">
        <v>0</v>
      </c>
      <c r="K129" s="11" t="s">
        <v>684</v>
      </c>
      <c r="L129" s="27">
        <v>10</v>
      </c>
      <c r="M129" s="28">
        <f>L129+L130</f>
        <v>12</v>
      </c>
      <c r="N129" s="29">
        <v>145.45</v>
      </c>
      <c r="O129" s="29">
        <v>60</v>
      </c>
      <c r="P129" s="26">
        <f t="shared" ref="P129:P134" si="12">L129*G129*60</f>
        <v>26400</v>
      </c>
      <c r="Q129" s="37">
        <v>28920</v>
      </c>
      <c r="R129" s="38" t="s">
        <v>701</v>
      </c>
      <c r="S129" s="38" t="s">
        <v>702</v>
      </c>
      <c r="T129" s="38" t="s">
        <v>701</v>
      </c>
      <c r="U129" s="38" t="str">
        <f t="shared" ref="U129:U135" si="13">"港澳处、律所、会所三方审核结论一致，符合给予租金补贴"&amp;Q129&amp;"元条件。"</f>
        <v>港澳处、律所、会所三方审核结论一致，符合给予租金补贴28920元条件。</v>
      </c>
      <c r="V129" s="2">
        <f t="shared" si="6"/>
        <v>26400</v>
      </c>
      <c r="W129" s="73">
        <f t="shared" si="7"/>
        <v>0</v>
      </c>
    </row>
    <row r="130" ht="150" customHeight="1" spans="1:23">
      <c r="A130" s="11"/>
      <c r="B130" s="11"/>
      <c r="C130" s="11"/>
      <c r="D130" s="11"/>
      <c r="E130" s="18"/>
      <c r="F130" s="11" t="s">
        <v>703</v>
      </c>
      <c r="G130" s="27">
        <v>21</v>
      </c>
      <c r="H130" s="11" t="s">
        <v>228</v>
      </c>
      <c r="I130" s="11"/>
      <c r="J130" s="28"/>
      <c r="K130" s="11" t="s">
        <v>228</v>
      </c>
      <c r="L130" s="27">
        <v>2</v>
      </c>
      <c r="M130" s="28"/>
      <c r="N130" s="30">
        <v>142.86</v>
      </c>
      <c r="O130" s="43"/>
      <c r="P130" s="26">
        <f t="shared" si="12"/>
        <v>2520</v>
      </c>
      <c r="Q130" s="37"/>
      <c r="R130" s="38"/>
      <c r="S130" s="38"/>
      <c r="T130" s="38"/>
      <c r="U130" s="38"/>
      <c r="V130" s="74">
        <f>G130*L130*O129</f>
        <v>2520</v>
      </c>
      <c r="W130" s="73">
        <f t="shared" si="7"/>
        <v>0</v>
      </c>
    </row>
    <row r="131" ht="300" customHeight="1" spans="1:23">
      <c r="A131" s="11">
        <v>68</v>
      </c>
      <c r="B131" s="11" t="s">
        <v>70</v>
      </c>
      <c r="C131" s="11" t="s">
        <v>289</v>
      </c>
      <c r="D131" s="11" t="s">
        <v>704</v>
      </c>
      <c r="E131" s="13" t="s">
        <v>154</v>
      </c>
      <c r="F131" s="11" t="s">
        <v>705</v>
      </c>
      <c r="G131" s="27">
        <v>10</v>
      </c>
      <c r="H131" s="11" t="s">
        <v>706</v>
      </c>
      <c r="I131" s="11" t="s">
        <v>157</v>
      </c>
      <c r="J131" s="28">
        <v>0</v>
      </c>
      <c r="K131" s="11" t="s">
        <v>707</v>
      </c>
      <c r="L131" s="27">
        <f>11+(31-12+1)/31</f>
        <v>11.6451612903226</v>
      </c>
      <c r="M131" s="28">
        <f t="shared" ref="M131:M134" si="14">L131</f>
        <v>11.6451612903226</v>
      </c>
      <c r="N131" s="28">
        <v>150</v>
      </c>
      <c r="O131" s="28">
        <v>60</v>
      </c>
      <c r="P131" s="26">
        <f t="shared" si="12"/>
        <v>6987.09677419355</v>
      </c>
      <c r="Q131" s="37">
        <v>6987</v>
      </c>
      <c r="R131" s="38" t="s">
        <v>708</v>
      </c>
      <c r="S131" s="38" t="s">
        <v>709</v>
      </c>
      <c r="T131" s="38" t="s">
        <v>708</v>
      </c>
      <c r="U131" s="38" t="str">
        <f t="shared" si="13"/>
        <v>港澳处、律所、会所三方审核结论一致，符合给予租金补贴6987元条件。</v>
      </c>
      <c r="V131" s="2">
        <f t="shared" ref="V131:V194" si="15">L131*O131*G131</f>
        <v>6987.09677419355</v>
      </c>
      <c r="W131" s="73">
        <f t="shared" ref="W131:W194" si="16">V131-P131</f>
        <v>0</v>
      </c>
    </row>
    <row r="132" ht="300" customHeight="1" spans="1:23">
      <c r="A132" s="11">
        <v>69</v>
      </c>
      <c r="B132" s="11" t="s">
        <v>71</v>
      </c>
      <c r="C132" s="11" t="s">
        <v>289</v>
      </c>
      <c r="D132" s="11" t="s">
        <v>710</v>
      </c>
      <c r="E132" s="14" t="s">
        <v>154</v>
      </c>
      <c r="F132" s="11" t="s">
        <v>711</v>
      </c>
      <c r="G132" s="26">
        <v>10</v>
      </c>
      <c r="H132" s="11" t="s">
        <v>291</v>
      </c>
      <c r="I132" s="11" t="s">
        <v>157</v>
      </c>
      <c r="J132" s="28">
        <v>0</v>
      </c>
      <c r="K132" s="11" t="s">
        <v>292</v>
      </c>
      <c r="L132" s="26">
        <f>5+(31-5+1)/31</f>
        <v>5.87096774193548</v>
      </c>
      <c r="M132" s="28">
        <f t="shared" si="14"/>
        <v>5.87096774193548</v>
      </c>
      <c r="N132" s="28">
        <v>150</v>
      </c>
      <c r="O132" s="28">
        <v>60</v>
      </c>
      <c r="P132" s="26">
        <f t="shared" si="12"/>
        <v>3522.58064516129</v>
      </c>
      <c r="Q132" s="37">
        <v>3522</v>
      </c>
      <c r="R132" s="38" t="s">
        <v>293</v>
      </c>
      <c r="S132" s="38" t="s">
        <v>294</v>
      </c>
      <c r="T132" s="38" t="s">
        <v>293</v>
      </c>
      <c r="U132" s="38" t="str">
        <f t="shared" si="13"/>
        <v>港澳处、律所、会所三方审核结论一致，符合给予租金补贴3522元条件。</v>
      </c>
      <c r="V132" s="2">
        <f t="shared" si="15"/>
        <v>3522.58064516129</v>
      </c>
      <c r="W132" s="73">
        <f t="shared" si="16"/>
        <v>0</v>
      </c>
    </row>
    <row r="133" ht="300" customHeight="1" spans="1:23">
      <c r="A133" s="11">
        <v>70</v>
      </c>
      <c r="B133" s="11" t="s">
        <v>72</v>
      </c>
      <c r="C133" s="11" t="s">
        <v>712</v>
      </c>
      <c r="D133" s="11" t="s">
        <v>713</v>
      </c>
      <c r="E133" s="13" t="s">
        <v>154</v>
      </c>
      <c r="F133" s="11" t="s">
        <v>714</v>
      </c>
      <c r="G133" s="27">
        <v>124.693</v>
      </c>
      <c r="H133" s="11" t="s">
        <v>715</v>
      </c>
      <c r="I133" s="11" t="s">
        <v>157</v>
      </c>
      <c r="J133" s="28">
        <v>0</v>
      </c>
      <c r="K133" s="11" t="s">
        <v>716</v>
      </c>
      <c r="L133" s="26">
        <v>9</v>
      </c>
      <c r="M133" s="28">
        <f t="shared" si="14"/>
        <v>9</v>
      </c>
      <c r="N133" s="28">
        <v>143.17</v>
      </c>
      <c r="O133" s="28">
        <v>60</v>
      </c>
      <c r="P133" s="26">
        <f t="shared" si="12"/>
        <v>67334.22</v>
      </c>
      <c r="Q133" s="37">
        <v>67334</v>
      </c>
      <c r="R133" s="38" t="s">
        <v>717</v>
      </c>
      <c r="S133" s="38" t="s">
        <v>718</v>
      </c>
      <c r="T133" s="38" t="s">
        <v>717</v>
      </c>
      <c r="U133" s="38" t="str">
        <f t="shared" si="13"/>
        <v>港澳处、律所、会所三方审核结论一致，符合给予租金补贴67334元条件。</v>
      </c>
      <c r="V133" s="2">
        <f t="shared" si="15"/>
        <v>67334.22</v>
      </c>
      <c r="W133" s="73">
        <f t="shared" si="16"/>
        <v>0</v>
      </c>
    </row>
    <row r="134" ht="300" customHeight="1" spans="1:23">
      <c r="A134" s="11">
        <v>71</v>
      </c>
      <c r="B134" s="11" t="s">
        <v>73</v>
      </c>
      <c r="C134" s="11" t="s">
        <v>289</v>
      </c>
      <c r="D134" s="11" t="s">
        <v>719</v>
      </c>
      <c r="E134" s="13" t="s">
        <v>154</v>
      </c>
      <c r="F134" s="11" t="s">
        <v>705</v>
      </c>
      <c r="G134" s="26">
        <v>10</v>
      </c>
      <c r="H134" s="11" t="s">
        <v>720</v>
      </c>
      <c r="I134" s="11" t="s">
        <v>157</v>
      </c>
      <c r="J134" s="28">
        <v>0</v>
      </c>
      <c r="K134" s="11" t="s">
        <v>721</v>
      </c>
      <c r="L134" s="26">
        <f>(31-4+1)/31+5</f>
        <v>5.90322580645161</v>
      </c>
      <c r="M134" s="28">
        <f t="shared" si="14"/>
        <v>5.90322580645161</v>
      </c>
      <c r="N134" s="28">
        <v>150</v>
      </c>
      <c r="O134" s="28">
        <v>60</v>
      </c>
      <c r="P134" s="26">
        <f t="shared" si="12"/>
        <v>3541.93548387097</v>
      </c>
      <c r="Q134" s="37">
        <v>3541</v>
      </c>
      <c r="R134" s="38" t="s">
        <v>722</v>
      </c>
      <c r="S134" s="38" t="s">
        <v>723</v>
      </c>
      <c r="T134" s="38" t="s">
        <v>722</v>
      </c>
      <c r="U134" s="38" t="str">
        <f t="shared" si="13"/>
        <v>港澳处、律所、会所三方审核结论一致，符合给予租金补贴3541元条件。</v>
      </c>
      <c r="V134" s="2">
        <f t="shared" si="15"/>
        <v>3541.93548387097</v>
      </c>
      <c r="W134" s="73">
        <f t="shared" si="16"/>
        <v>0</v>
      </c>
    </row>
    <row r="135" ht="150" customHeight="1" spans="1:23">
      <c r="A135" s="11">
        <v>72</v>
      </c>
      <c r="B135" s="11" t="s">
        <v>74</v>
      </c>
      <c r="C135" s="11" t="s">
        <v>724</v>
      </c>
      <c r="D135" s="11" t="s">
        <v>725</v>
      </c>
      <c r="E135" s="17" t="s">
        <v>154</v>
      </c>
      <c r="F135" s="11" t="s">
        <v>726</v>
      </c>
      <c r="G135" s="26">
        <v>70</v>
      </c>
      <c r="H135" s="11" t="s">
        <v>727</v>
      </c>
      <c r="I135" s="11" t="s">
        <v>157</v>
      </c>
      <c r="J135" s="28">
        <v>0</v>
      </c>
      <c r="K135" s="11" t="s">
        <v>727</v>
      </c>
      <c r="L135" s="26">
        <f>(31-10+1)/31+6+18/31</f>
        <v>7.29032258064516</v>
      </c>
      <c r="M135" s="28">
        <f>L135+L136</f>
        <v>7.99032258064516</v>
      </c>
      <c r="N135" s="28">
        <v>120</v>
      </c>
      <c r="O135" s="28">
        <v>60</v>
      </c>
      <c r="P135" s="26">
        <f t="shared" ref="P135:P139" si="17">G135*L135*60</f>
        <v>30619.3548387097</v>
      </c>
      <c r="Q135" s="37">
        <v>33559</v>
      </c>
      <c r="R135" s="38" t="s">
        <v>728</v>
      </c>
      <c r="S135" s="38" t="s">
        <v>729</v>
      </c>
      <c r="T135" s="38" t="s">
        <v>728</v>
      </c>
      <c r="U135" s="38" t="str">
        <f t="shared" si="13"/>
        <v>港澳处、律所、会所三方审核结论一致，符合给予租金补贴33559元条件。</v>
      </c>
      <c r="V135" s="2">
        <f t="shared" si="15"/>
        <v>30619.3548387097</v>
      </c>
      <c r="W135" s="73">
        <f t="shared" si="16"/>
        <v>0</v>
      </c>
    </row>
    <row r="136" ht="150" customHeight="1" spans="1:23">
      <c r="A136" s="11"/>
      <c r="B136" s="11"/>
      <c r="C136" s="11"/>
      <c r="D136" s="11"/>
      <c r="E136" s="18"/>
      <c r="F136" s="11"/>
      <c r="G136" s="26">
        <v>70</v>
      </c>
      <c r="H136" s="11" t="s">
        <v>730</v>
      </c>
      <c r="I136" s="11"/>
      <c r="J136" s="28"/>
      <c r="K136" s="11" t="s">
        <v>730</v>
      </c>
      <c r="L136" s="26">
        <f>(30-10+1)/30</f>
        <v>0.7</v>
      </c>
      <c r="M136" s="28"/>
      <c r="N136" s="28">
        <v>120</v>
      </c>
      <c r="O136" s="28">
        <v>60</v>
      </c>
      <c r="P136" s="26">
        <f t="shared" si="17"/>
        <v>2940</v>
      </c>
      <c r="Q136" s="37"/>
      <c r="R136" s="38"/>
      <c r="S136" s="38"/>
      <c r="T136" s="38"/>
      <c r="U136" s="38"/>
      <c r="V136" s="2">
        <f t="shared" si="15"/>
        <v>2940</v>
      </c>
      <c r="W136" s="73">
        <f t="shared" si="16"/>
        <v>0</v>
      </c>
    </row>
    <row r="137" ht="300" customHeight="1" spans="1:23">
      <c r="A137" s="11">
        <v>73</v>
      </c>
      <c r="B137" s="11" t="s">
        <v>75</v>
      </c>
      <c r="C137" s="11" t="s">
        <v>289</v>
      </c>
      <c r="D137" s="11" t="s">
        <v>731</v>
      </c>
      <c r="E137" s="13" t="s">
        <v>154</v>
      </c>
      <c r="F137" s="11" t="s">
        <v>705</v>
      </c>
      <c r="G137" s="27">
        <v>10</v>
      </c>
      <c r="H137" s="11" t="s">
        <v>291</v>
      </c>
      <c r="I137" s="11" t="s">
        <v>157</v>
      </c>
      <c r="J137" s="28">
        <v>0</v>
      </c>
      <c r="K137" s="11" t="s">
        <v>292</v>
      </c>
      <c r="L137" s="27">
        <f>5+(31-5+1)/31</f>
        <v>5.87096774193548</v>
      </c>
      <c r="M137" s="28">
        <f t="shared" ref="M137:M145" si="18">L137</f>
        <v>5.87096774193548</v>
      </c>
      <c r="N137" s="28">
        <v>150</v>
      </c>
      <c r="O137" s="28">
        <v>60</v>
      </c>
      <c r="P137" s="27">
        <f t="shared" si="17"/>
        <v>3522.58064516129</v>
      </c>
      <c r="Q137" s="37">
        <v>3522</v>
      </c>
      <c r="R137" s="38" t="s">
        <v>293</v>
      </c>
      <c r="S137" s="38" t="s">
        <v>294</v>
      </c>
      <c r="T137" s="38" t="s">
        <v>293</v>
      </c>
      <c r="U137" s="38" t="str">
        <f t="shared" ref="U137:U139" si="19">"港澳处、律所、会所三方审核结论一致，符合给予租金补贴"&amp;Q137&amp;"元条件。"</f>
        <v>港澳处、律所、会所三方审核结论一致，符合给予租金补贴3522元条件。</v>
      </c>
      <c r="V137" s="2">
        <f t="shared" si="15"/>
        <v>3522.58064516129</v>
      </c>
      <c r="W137" s="73">
        <f t="shared" si="16"/>
        <v>0</v>
      </c>
    </row>
    <row r="138" ht="300" customHeight="1" spans="1:23">
      <c r="A138" s="11">
        <v>74</v>
      </c>
      <c r="B138" s="11" t="s">
        <v>76</v>
      </c>
      <c r="C138" s="11" t="s">
        <v>732</v>
      </c>
      <c r="D138" s="11" t="s">
        <v>733</v>
      </c>
      <c r="E138" s="13" t="s">
        <v>154</v>
      </c>
      <c r="F138" s="11" t="s">
        <v>734</v>
      </c>
      <c r="G138" s="27">
        <v>10</v>
      </c>
      <c r="H138" s="11" t="s">
        <v>735</v>
      </c>
      <c r="I138" s="11" t="s">
        <v>157</v>
      </c>
      <c r="J138" s="28">
        <v>0</v>
      </c>
      <c r="K138" s="11" t="s">
        <v>736</v>
      </c>
      <c r="L138" s="27">
        <f>5+(31-21+1)/31</f>
        <v>5.35483870967742</v>
      </c>
      <c r="M138" s="28">
        <f t="shared" si="18"/>
        <v>5.35483870967742</v>
      </c>
      <c r="N138" s="28">
        <v>130</v>
      </c>
      <c r="O138" s="28">
        <v>60</v>
      </c>
      <c r="P138" s="27">
        <f t="shared" si="17"/>
        <v>3212.90322580645</v>
      </c>
      <c r="Q138" s="37">
        <v>3212</v>
      </c>
      <c r="R138" s="38" t="s">
        <v>737</v>
      </c>
      <c r="S138" s="38" t="s">
        <v>738</v>
      </c>
      <c r="T138" s="38" t="s">
        <v>737</v>
      </c>
      <c r="U138" s="38" t="str">
        <f t="shared" si="19"/>
        <v>港澳处、律所、会所三方审核结论一致，符合给予租金补贴3212元条件。</v>
      </c>
      <c r="V138" s="2">
        <f t="shared" si="15"/>
        <v>3212.90322580645</v>
      </c>
      <c r="W138" s="73">
        <f t="shared" si="16"/>
        <v>0</v>
      </c>
    </row>
    <row r="139" ht="150" customHeight="1" spans="1:23">
      <c r="A139" s="11">
        <v>75</v>
      </c>
      <c r="B139" s="11" t="s">
        <v>77</v>
      </c>
      <c r="C139" s="11" t="s">
        <v>739</v>
      </c>
      <c r="D139" s="11" t="s">
        <v>740</v>
      </c>
      <c r="E139" s="17" t="s">
        <v>154</v>
      </c>
      <c r="F139" s="11" t="s">
        <v>741</v>
      </c>
      <c r="G139" s="27">
        <v>70</v>
      </c>
      <c r="H139" s="11" t="s">
        <v>742</v>
      </c>
      <c r="I139" s="11" t="s">
        <v>220</v>
      </c>
      <c r="J139" s="28">
        <f>7+(30-14+1)/30</f>
        <v>7.56666666666667</v>
      </c>
      <c r="K139" s="27" t="s">
        <v>743</v>
      </c>
      <c r="L139" s="27">
        <f>4+13/30</f>
        <v>4.43333333333333</v>
      </c>
      <c r="M139" s="28">
        <f>J139+L139+L140</f>
        <v>19</v>
      </c>
      <c r="N139" s="28">
        <v>120</v>
      </c>
      <c r="O139" s="28">
        <v>60</v>
      </c>
      <c r="P139" s="27">
        <f t="shared" si="17"/>
        <v>18620</v>
      </c>
      <c r="Q139" s="37">
        <v>22120</v>
      </c>
      <c r="R139" s="38" t="s">
        <v>744</v>
      </c>
      <c r="S139" s="38" t="s">
        <v>745</v>
      </c>
      <c r="T139" s="38" t="s">
        <v>744</v>
      </c>
      <c r="U139" s="38" t="str">
        <f t="shared" si="19"/>
        <v>港澳处、律所、会所三方审核结论一致，符合给予租金补贴22120元条件。</v>
      </c>
      <c r="V139" s="2">
        <f t="shared" si="15"/>
        <v>18620</v>
      </c>
      <c r="W139" s="73">
        <f t="shared" si="16"/>
        <v>0</v>
      </c>
    </row>
    <row r="140" ht="150" customHeight="1" spans="1:23">
      <c r="A140" s="11"/>
      <c r="B140" s="11"/>
      <c r="C140" s="11"/>
      <c r="D140" s="11"/>
      <c r="E140" s="18"/>
      <c r="F140" s="11" t="s">
        <v>746</v>
      </c>
      <c r="G140" s="27">
        <v>10</v>
      </c>
      <c r="H140" s="11" t="s">
        <v>747</v>
      </c>
      <c r="I140" s="11"/>
      <c r="J140" s="28"/>
      <c r="K140" s="11" t="s">
        <v>499</v>
      </c>
      <c r="L140" s="27">
        <v>7</v>
      </c>
      <c r="M140" s="28"/>
      <c r="N140" s="28">
        <v>100</v>
      </c>
      <c r="O140" s="28">
        <v>50</v>
      </c>
      <c r="P140" s="27">
        <f>G140*L140*50</f>
        <v>3500</v>
      </c>
      <c r="Q140" s="37"/>
      <c r="R140" s="38"/>
      <c r="S140" s="38"/>
      <c r="T140" s="38"/>
      <c r="U140" s="38"/>
      <c r="V140" s="2">
        <f t="shared" si="15"/>
        <v>3500</v>
      </c>
      <c r="W140" s="73">
        <f t="shared" si="16"/>
        <v>0</v>
      </c>
    </row>
    <row r="141" ht="300" customHeight="1" spans="1:23">
      <c r="A141" s="11">
        <v>76</v>
      </c>
      <c r="B141" s="11" t="s">
        <v>78</v>
      </c>
      <c r="C141" s="11" t="s">
        <v>748</v>
      </c>
      <c r="D141" s="11" t="s">
        <v>749</v>
      </c>
      <c r="E141" s="13" t="s">
        <v>154</v>
      </c>
      <c r="F141" s="11" t="s">
        <v>750</v>
      </c>
      <c r="G141" s="27">
        <v>103</v>
      </c>
      <c r="H141" s="11" t="s">
        <v>751</v>
      </c>
      <c r="I141" s="11" t="s">
        <v>157</v>
      </c>
      <c r="J141" s="28">
        <v>0</v>
      </c>
      <c r="K141" s="11" t="s">
        <v>752</v>
      </c>
      <c r="L141" s="27">
        <f>9+(30-12+1)/30</f>
        <v>9.63333333333333</v>
      </c>
      <c r="M141" s="28">
        <f t="shared" si="18"/>
        <v>9.63333333333333</v>
      </c>
      <c r="N141" s="28">
        <v>143.09</v>
      </c>
      <c r="O141" s="28">
        <v>60</v>
      </c>
      <c r="P141" s="27">
        <f t="shared" ref="P141:P145" si="20">G141*L141*60</f>
        <v>59534</v>
      </c>
      <c r="Q141" s="37">
        <v>59534</v>
      </c>
      <c r="R141" s="38" t="s">
        <v>753</v>
      </c>
      <c r="S141" s="38" t="s">
        <v>754</v>
      </c>
      <c r="T141" s="38" t="s">
        <v>753</v>
      </c>
      <c r="U141" s="38" t="str">
        <f t="shared" ref="U141:U146" si="21">"港澳处、律所、会所三方审核结论一致，符合给予租金补贴"&amp;Q141&amp;"元条件。"</f>
        <v>港澳处、律所、会所三方审核结论一致，符合给予租金补贴59534元条件。</v>
      </c>
      <c r="V141" s="2">
        <f t="shared" si="15"/>
        <v>59534</v>
      </c>
      <c r="W141" s="73">
        <f t="shared" si="16"/>
        <v>0</v>
      </c>
    </row>
    <row r="142" ht="300" customHeight="1" spans="1:23">
      <c r="A142" s="11">
        <v>77</v>
      </c>
      <c r="B142" s="11" t="s">
        <v>79</v>
      </c>
      <c r="C142" s="11" t="s">
        <v>755</v>
      </c>
      <c r="D142" s="11" t="s">
        <v>756</v>
      </c>
      <c r="E142" s="13" t="s">
        <v>154</v>
      </c>
      <c r="F142" s="11" t="s">
        <v>757</v>
      </c>
      <c r="G142" s="27">
        <v>10</v>
      </c>
      <c r="H142" s="11" t="s">
        <v>758</v>
      </c>
      <c r="I142" s="11" t="s">
        <v>157</v>
      </c>
      <c r="J142" s="28">
        <v>0</v>
      </c>
      <c r="K142" s="27" t="s">
        <v>602</v>
      </c>
      <c r="L142" s="27">
        <v>6</v>
      </c>
      <c r="M142" s="28">
        <f t="shared" si="18"/>
        <v>6</v>
      </c>
      <c r="N142" s="28">
        <v>150</v>
      </c>
      <c r="O142" s="28">
        <v>60</v>
      </c>
      <c r="P142" s="27">
        <f t="shared" si="20"/>
        <v>3600</v>
      </c>
      <c r="Q142" s="37">
        <v>3600</v>
      </c>
      <c r="R142" s="38" t="s">
        <v>759</v>
      </c>
      <c r="S142" s="38" t="s">
        <v>760</v>
      </c>
      <c r="T142" s="38" t="s">
        <v>759</v>
      </c>
      <c r="U142" s="38" t="str">
        <f t="shared" si="21"/>
        <v>港澳处、律所、会所三方审核结论一致，符合给予租金补贴3600元条件。</v>
      </c>
      <c r="V142" s="2">
        <f t="shared" si="15"/>
        <v>3600</v>
      </c>
      <c r="W142" s="73">
        <f t="shared" si="16"/>
        <v>0</v>
      </c>
    </row>
    <row r="143" ht="300" customHeight="1" spans="1:23">
      <c r="A143" s="11">
        <v>78</v>
      </c>
      <c r="B143" s="11" t="s">
        <v>80</v>
      </c>
      <c r="C143" s="11" t="s">
        <v>396</v>
      </c>
      <c r="D143" s="11" t="s">
        <v>761</v>
      </c>
      <c r="E143" s="14" t="s">
        <v>154</v>
      </c>
      <c r="F143" s="11" t="s">
        <v>762</v>
      </c>
      <c r="G143" s="27">
        <v>10</v>
      </c>
      <c r="H143" s="11" t="s">
        <v>763</v>
      </c>
      <c r="I143" s="11" t="s">
        <v>157</v>
      </c>
      <c r="J143" s="28">
        <v>0</v>
      </c>
      <c r="K143" s="11" t="s">
        <v>382</v>
      </c>
      <c r="L143" s="27">
        <v>13</v>
      </c>
      <c r="M143" s="28">
        <f t="shared" si="18"/>
        <v>13</v>
      </c>
      <c r="N143" s="28">
        <v>150</v>
      </c>
      <c r="O143" s="28">
        <v>60</v>
      </c>
      <c r="P143" s="27">
        <f t="shared" si="20"/>
        <v>7800</v>
      </c>
      <c r="Q143" s="37">
        <v>7800</v>
      </c>
      <c r="R143" s="38" t="s">
        <v>383</v>
      </c>
      <c r="S143" s="38" t="s">
        <v>384</v>
      </c>
      <c r="T143" s="38" t="s">
        <v>383</v>
      </c>
      <c r="U143" s="38" t="str">
        <f t="shared" si="21"/>
        <v>港澳处、律所、会所三方审核结论一致，符合给予租金补贴7800元条件。</v>
      </c>
      <c r="V143" s="2">
        <f t="shared" si="15"/>
        <v>7800</v>
      </c>
      <c r="W143" s="73">
        <f t="shared" si="16"/>
        <v>0</v>
      </c>
    </row>
    <row r="144" ht="300" customHeight="1" spans="1:23">
      <c r="A144" s="11">
        <v>79</v>
      </c>
      <c r="B144" s="11" t="s">
        <v>81</v>
      </c>
      <c r="C144" s="11" t="s">
        <v>289</v>
      </c>
      <c r="D144" s="11" t="s">
        <v>764</v>
      </c>
      <c r="E144" s="14" t="s">
        <v>154</v>
      </c>
      <c r="F144" s="11" t="s">
        <v>765</v>
      </c>
      <c r="G144" s="27">
        <v>10</v>
      </c>
      <c r="H144" s="11" t="s">
        <v>766</v>
      </c>
      <c r="I144" s="11" t="s">
        <v>157</v>
      </c>
      <c r="J144" s="28">
        <v>0</v>
      </c>
      <c r="K144" s="11" t="s">
        <v>767</v>
      </c>
      <c r="L144" s="27">
        <f>(31-16+1)/31+9+6</f>
        <v>15.5161290322581</v>
      </c>
      <c r="M144" s="28">
        <f t="shared" si="18"/>
        <v>15.5161290322581</v>
      </c>
      <c r="N144" s="28">
        <v>150</v>
      </c>
      <c r="O144" s="28">
        <v>60</v>
      </c>
      <c r="P144" s="27">
        <f t="shared" si="20"/>
        <v>9309.67741935484</v>
      </c>
      <c r="Q144" s="37">
        <v>9309</v>
      </c>
      <c r="R144" s="38" t="s">
        <v>768</v>
      </c>
      <c r="S144" s="38" t="s">
        <v>769</v>
      </c>
      <c r="T144" s="38" t="s">
        <v>768</v>
      </c>
      <c r="U144" s="38" t="str">
        <f t="shared" si="21"/>
        <v>港澳处、律所、会所三方审核结论一致，符合给予租金补贴9309元条件。</v>
      </c>
      <c r="V144" s="2">
        <f t="shared" si="15"/>
        <v>9309.67741935484</v>
      </c>
      <c r="W144" s="73">
        <f t="shared" si="16"/>
        <v>0</v>
      </c>
    </row>
    <row r="145" ht="300" customHeight="1" spans="1:23">
      <c r="A145" s="11">
        <v>80</v>
      </c>
      <c r="B145" s="11" t="s">
        <v>82</v>
      </c>
      <c r="C145" s="11" t="s">
        <v>770</v>
      </c>
      <c r="D145" s="11" t="s">
        <v>771</v>
      </c>
      <c r="E145" s="13" t="s">
        <v>154</v>
      </c>
      <c r="F145" s="11" t="s">
        <v>772</v>
      </c>
      <c r="G145" s="27">
        <v>152</v>
      </c>
      <c r="H145" s="11" t="s">
        <v>613</v>
      </c>
      <c r="I145" s="11" t="s">
        <v>157</v>
      </c>
      <c r="J145" s="28">
        <v>0</v>
      </c>
      <c r="K145" s="11" t="s">
        <v>602</v>
      </c>
      <c r="L145" s="27">
        <v>6</v>
      </c>
      <c r="M145" s="28">
        <f t="shared" si="18"/>
        <v>6</v>
      </c>
      <c r="N145" s="28">
        <v>120</v>
      </c>
      <c r="O145" s="28">
        <v>60</v>
      </c>
      <c r="P145" s="27">
        <f t="shared" si="20"/>
        <v>54720</v>
      </c>
      <c r="Q145" s="37">
        <v>54720</v>
      </c>
      <c r="R145" s="38" t="s">
        <v>773</v>
      </c>
      <c r="S145" s="38" t="s">
        <v>774</v>
      </c>
      <c r="T145" s="38" t="s">
        <v>773</v>
      </c>
      <c r="U145" s="38" t="str">
        <f t="shared" si="21"/>
        <v>港澳处、律所、会所三方审核结论一致，符合给予租金补贴54720元条件。</v>
      </c>
      <c r="V145" s="2">
        <f t="shared" si="15"/>
        <v>54720</v>
      </c>
      <c r="W145" s="73">
        <f t="shared" si="16"/>
        <v>0</v>
      </c>
    </row>
    <row r="146" ht="150" customHeight="1" spans="1:23">
      <c r="A146" s="11">
        <v>81</v>
      </c>
      <c r="B146" s="11" t="s">
        <v>83</v>
      </c>
      <c r="C146" s="11" t="s">
        <v>282</v>
      </c>
      <c r="D146" s="11" t="s">
        <v>775</v>
      </c>
      <c r="E146" s="17" t="s">
        <v>154</v>
      </c>
      <c r="F146" s="11" t="s">
        <v>776</v>
      </c>
      <c r="G146" s="27">
        <v>80</v>
      </c>
      <c r="H146" s="11" t="s">
        <v>777</v>
      </c>
      <c r="I146" s="11" t="s">
        <v>220</v>
      </c>
      <c r="J146" s="28">
        <v>6</v>
      </c>
      <c r="K146" s="27" t="s">
        <v>609</v>
      </c>
      <c r="L146" s="27">
        <v>6</v>
      </c>
      <c r="M146" s="28">
        <f>L146+L147+L148+J146</f>
        <v>18</v>
      </c>
      <c r="N146" s="28">
        <f>7500/80</f>
        <v>93.75</v>
      </c>
      <c r="O146" s="28">
        <f t="shared" ref="O146:O148" si="22">N146*0.5</f>
        <v>46.875</v>
      </c>
      <c r="P146" s="27">
        <f>G146*L146*7500/80/2</f>
        <v>22500</v>
      </c>
      <c r="Q146" s="37">
        <v>27616</v>
      </c>
      <c r="R146" s="38" t="s">
        <v>778</v>
      </c>
      <c r="S146" s="38" t="s">
        <v>779</v>
      </c>
      <c r="T146" s="38" t="s">
        <v>778</v>
      </c>
      <c r="U146" s="38" t="str">
        <f t="shared" si="21"/>
        <v>港澳处、律所、会所三方审核结论一致，符合给予租金补贴27616元条件。</v>
      </c>
      <c r="V146" s="2">
        <f t="shared" si="15"/>
        <v>22500</v>
      </c>
      <c r="W146" s="73">
        <f t="shared" si="16"/>
        <v>0</v>
      </c>
    </row>
    <row r="147" ht="150" customHeight="1" spans="1:23">
      <c r="A147" s="11"/>
      <c r="B147" s="11"/>
      <c r="C147" s="11"/>
      <c r="D147" s="11"/>
      <c r="E147" s="20"/>
      <c r="F147" s="11" t="s">
        <v>780</v>
      </c>
      <c r="G147" s="27">
        <v>80</v>
      </c>
      <c r="H147" s="11" t="s">
        <v>501</v>
      </c>
      <c r="I147" s="11"/>
      <c r="J147" s="28"/>
      <c r="K147" s="11" t="s">
        <v>501</v>
      </c>
      <c r="L147" s="27">
        <v>1</v>
      </c>
      <c r="M147" s="28"/>
      <c r="N147" s="28">
        <f>5232/80</f>
        <v>65.4</v>
      </c>
      <c r="O147" s="28">
        <f t="shared" si="22"/>
        <v>32.7</v>
      </c>
      <c r="P147" s="27">
        <f>G147*L147*5232/80/2</f>
        <v>2616</v>
      </c>
      <c r="Q147" s="37"/>
      <c r="R147" s="38"/>
      <c r="S147" s="38"/>
      <c r="T147" s="38"/>
      <c r="U147" s="38"/>
      <c r="V147" s="2">
        <f t="shared" si="15"/>
        <v>2616</v>
      </c>
      <c r="W147" s="73">
        <f t="shared" si="16"/>
        <v>0</v>
      </c>
    </row>
    <row r="148" ht="150" customHeight="1" spans="1:23">
      <c r="A148" s="11"/>
      <c r="B148" s="11"/>
      <c r="C148" s="11"/>
      <c r="D148" s="11"/>
      <c r="E148" s="18"/>
      <c r="F148" s="11" t="s">
        <v>781</v>
      </c>
      <c r="G148" s="27">
        <v>8.5</v>
      </c>
      <c r="H148" s="11" t="s">
        <v>782</v>
      </c>
      <c r="I148" s="11"/>
      <c r="J148" s="28"/>
      <c r="K148" s="11" t="s">
        <v>314</v>
      </c>
      <c r="L148" s="27">
        <v>5</v>
      </c>
      <c r="M148" s="28"/>
      <c r="N148" s="28">
        <f>1000/8.5</f>
        <v>117.647058823529</v>
      </c>
      <c r="O148" s="28">
        <f t="shared" si="22"/>
        <v>58.8235294117647</v>
      </c>
      <c r="P148" s="27">
        <f>G148*L148*1000/8.5/2</f>
        <v>2500</v>
      </c>
      <c r="Q148" s="37"/>
      <c r="R148" s="38"/>
      <c r="S148" s="38"/>
      <c r="T148" s="38"/>
      <c r="U148" s="38"/>
      <c r="V148" s="2">
        <f t="shared" si="15"/>
        <v>2500</v>
      </c>
      <c r="W148" s="73">
        <f t="shared" si="16"/>
        <v>0</v>
      </c>
    </row>
    <row r="149" ht="150" customHeight="1" spans="1:23">
      <c r="A149" s="11">
        <v>82</v>
      </c>
      <c r="B149" s="11" t="s">
        <v>84</v>
      </c>
      <c r="C149" s="11" t="s">
        <v>783</v>
      </c>
      <c r="D149" s="11" t="s">
        <v>784</v>
      </c>
      <c r="E149" s="17" t="s">
        <v>154</v>
      </c>
      <c r="F149" s="11" t="s">
        <v>785</v>
      </c>
      <c r="G149" s="27">
        <v>42</v>
      </c>
      <c r="H149" s="11" t="s">
        <v>786</v>
      </c>
      <c r="I149" s="11" t="s">
        <v>157</v>
      </c>
      <c r="J149" s="28">
        <v>0</v>
      </c>
      <c r="K149" s="11" t="s">
        <v>786</v>
      </c>
      <c r="L149" s="27">
        <v>4</v>
      </c>
      <c r="M149" s="28">
        <f>L149+L151+L150</f>
        <v>13</v>
      </c>
      <c r="N149" s="28">
        <f>9000/42</f>
        <v>214.285714285714</v>
      </c>
      <c r="O149" s="28">
        <v>60</v>
      </c>
      <c r="P149" s="27">
        <f t="shared" ref="P149:P161" si="23">G149*L149*60</f>
        <v>10080</v>
      </c>
      <c r="Q149" s="37">
        <v>17580</v>
      </c>
      <c r="R149" s="38" t="s">
        <v>787</v>
      </c>
      <c r="S149" s="38" t="s">
        <v>788</v>
      </c>
      <c r="T149" s="38" t="s">
        <v>787</v>
      </c>
      <c r="U149" s="38" t="str">
        <f t="shared" ref="U149:U153" si="24">"港澳处、律所、会所三方审核结论一致，符合给予租金补贴"&amp;Q149&amp;"元条件。"</f>
        <v>港澳处、律所、会所三方审核结论一致，符合给予租金补贴17580元条件。</v>
      </c>
      <c r="V149" s="2">
        <f t="shared" si="15"/>
        <v>10080</v>
      </c>
      <c r="W149" s="73">
        <f t="shared" si="16"/>
        <v>0</v>
      </c>
    </row>
    <row r="150" ht="150" customHeight="1" spans="1:23">
      <c r="A150" s="11"/>
      <c r="B150" s="11"/>
      <c r="C150" s="11"/>
      <c r="D150" s="11"/>
      <c r="E150" s="20"/>
      <c r="F150" s="11" t="s">
        <v>789</v>
      </c>
      <c r="G150" s="27">
        <v>15</v>
      </c>
      <c r="H150" s="11" t="s">
        <v>790</v>
      </c>
      <c r="I150" s="11"/>
      <c r="J150" s="28"/>
      <c r="K150" s="27" t="s">
        <v>791</v>
      </c>
      <c r="L150" s="27">
        <v>5</v>
      </c>
      <c r="M150" s="28"/>
      <c r="N150" s="28">
        <f>3000/15</f>
        <v>200</v>
      </c>
      <c r="O150" s="28">
        <v>60</v>
      </c>
      <c r="P150" s="27">
        <f>G151*5*60</f>
        <v>4500</v>
      </c>
      <c r="Q150" s="37"/>
      <c r="R150" s="38"/>
      <c r="S150" s="38"/>
      <c r="T150" s="38"/>
      <c r="U150" s="38"/>
      <c r="V150" s="2">
        <f t="shared" si="15"/>
        <v>4500</v>
      </c>
      <c r="W150" s="73">
        <f t="shared" si="16"/>
        <v>0</v>
      </c>
    </row>
    <row r="151" ht="150" customHeight="1" spans="1:23">
      <c r="A151" s="11"/>
      <c r="B151" s="11"/>
      <c r="C151" s="11"/>
      <c r="D151" s="11"/>
      <c r="E151" s="18"/>
      <c r="F151" s="11" t="s">
        <v>789</v>
      </c>
      <c r="G151" s="27">
        <v>15</v>
      </c>
      <c r="H151" s="11" t="s">
        <v>790</v>
      </c>
      <c r="I151" s="11"/>
      <c r="J151" s="28"/>
      <c r="K151" s="27" t="s">
        <v>320</v>
      </c>
      <c r="L151" s="27">
        <v>4</v>
      </c>
      <c r="M151" s="28"/>
      <c r="N151" s="28">
        <f>1500/15</f>
        <v>100</v>
      </c>
      <c r="O151" s="28">
        <f>N151*0.5</f>
        <v>50</v>
      </c>
      <c r="P151" s="27">
        <f>1500*4*0.5</f>
        <v>3000</v>
      </c>
      <c r="Q151" s="37"/>
      <c r="R151" s="38"/>
      <c r="S151" s="38"/>
      <c r="T151" s="38"/>
      <c r="U151" s="38"/>
      <c r="V151" s="2">
        <f t="shared" si="15"/>
        <v>3000</v>
      </c>
      <c r="W151" s="73">
        <f t="shared" si="16"/>
        <v>0</v>
      </c>
    </row>
    <row r="152" s="3" customFormat="1" ht="300" customHeight="1" spans="1:23">
      <c r="A152" s="11">
        <v>83</v>
      </c>
      <c r="B152" s="11" t="s">
        <v>85</v>
      </c>
      <c r="C152" s="11" t="s">
        <v>792</v>
      </c>
      <c r="D152" s="11" t="s">
        <v>793</v>
      </c>
      <c r="E152" s="14" t="s">
        <v>154</v>
      </c>
      <c r="F152" s="11" t="s">
        <v>794</v>
      </c>
      <c r="G152" s="27">
        <v>836.48</v>
      </c>
      <c r="H152" s="11" t="s">
        <v>795</v>
      </c>
      <c r="I152" s="11" t="s">
        <v>157</v>
      </c>
      <c r="J152" s="28">
        <v>0</v>
      </c>
      <c r="K152" s="27" t="s">
        <v>228</v>
      </c>
      <c r="L152" s="27">
        <v>2</v>
      </c>
      <c r="M152" s="28">
        <f>L152</f>
        <v>2</v>
      </c>
      <c r="N152" s="28">
        <v>139</v>
      </c>
      <c r="O152" s="28">
        <v>60</v>
      </c>
      <c r="P152" s="27">
        <f t="shared" si="23"/>
        <v>100377.6</v>
      </c>
      <c r="Q152" s="37">
        <v>100377</v>
      </c>
      <c r="R152" s="38" t="s">
        <v>796</v>
      </c>
      <c r="S152" s="38" t="s">
        <v>797</v>
      </c>
      <c r="T152" s="38" t="s">
        <v>796</v>
      </c>
      <c r="U152" s="38" t="str">
        <f t="shared" si="24"/>
        <v>港澳处、律所、会所三方审核结论一致，符合给予租金补贴100377元条件。</v>
      </c>
      <c r="V152" s="2">
        <f t="shared" si="15"/>
        <v>100377.6</v>
      </c>
      <c r="W152" s="73">
        <f t="shared" si="16"/>
        <v>0</v>
      </c>
    </row>
    <row r="153" ht="150" customHeight="1" spans="1:23">
      <c r="A153" s="11">
        <v>84</v>
      </c>
      <c r="B153" s="11" t="s">
        <v>86</v>
      </c>
      <c r="C153" s="11" t="s">
        <v>798</v>
      </c>
      <c r="D153" s="11" t="s">
        <v>799</v>
      </c>
      <c r="E153" s="17" t="s">
        <v>154</v>
      </c>
      <c r="F153" s="11" t="s">
        <v>800</v>
      </c>
      <c r="G153" s="27">
        <v>800</v>
      </c>
      <c r="H153" s="11" t="s">
        <v>801</v>
      </c>
      <c r="I153" s="11" t="s">
        <v>220</v>
      </c>
      <c r="J153" s="28">
        <v>9</v>
      </c>
      <c r="K153" s="11" t="s">
        <v>801</v>
      </c>
      <c r="L153" s="27">
        <v>8</v>
      </c>
      <c r="M153" s="28">
        <f>J153+L153+L154</f>
        <v>21</v>
      </c>
      <c r="N153" s="28">
        <v>120</v>
      </c>
      <c r="O153" s="28">
        <v>60</v>
      </c>
      <c r="P153" s="27">
        <f t="shared" si="23"/>
        <v>384000</v>
      </c>
      <c r="Q153" s="37">
        <v>300000</v>
      </c>
      <c r="R153" s="38" t="s">
        <v>476</v>
      </c>
      <c r="S153" s="38" t="s">
        <v>477</v>
      </c>
      <c r="T153" s="38" t="s">
        <v>476</v>
      </c>
      <c r="U153" s="38" t="str">
        <f t="shared" si="24"/>
        <v>港澳处、律所、会所三方审核结论一致，符合给予租金补贴300000元条件。</v>
      </c>
      <c r="V153" s="2">
        <f t="shared" si="15"/>
        <v>384000</v>
      </c>
      <c r="W153" s="73">
        <f t="shared" si="16"/>
        <v>0</v>
      </c>
    </row>
    <row r="154" ht="150" customHeight="1" spans="1:23">
      <c r="A154" s="11"/>
      <c r="B154" s="11"/>
      <c r="C154" s="11"/>
      <c r="D154" s="11"/>
      <c r="E154" s="18"/>
      <c r="F154" s="11" t="s">
        <v>802</v>
      </c>
      <c r="G154" s="27">
        <v>344</v>
      </c>
      <c r="H154" s="11" t="s">
        <v>319</v>
      </c>
      <c r="I154" s="11"/>
      <c r="J154" s="28"/>
      <c r="K154" s="27" t="s">
        <v>320</v>
      </c>
      <c r="L154" s="27">
        <v>4</v>
      </c>
      <c r="M154" s="28"/>
      <c r="N154" s="28">
        <v>120</v>
      </c>
      <c r="O154" s="28">
        <v>60</v>
      </c>
      <c r="P154" s="27">
        <f t="shared" si="23"/>
        <v>82560</v>
      </c>
      <c r="Q154" s="37"/>
      <c r="R154" s="38"/>
      <c r="S154" s="38"/>
      <c r="T154" s="38"/>
      <c r="U154" s="38"/>
      <c r="V154" s="2">
        <f t="shared" si="15"/>
        <v>82560</v>
      </c>
      <c r="W154" s="73">
        <f t="shared" si="16"/>
        <v>0</v>
      </c>
    </row>
    <row r="155" ht="150" customHeight="1" spans="1:23">
      <c r="A155" s="11">
        <v>85</v>
      </c>
      <c r="B155" s="11" t="s">
        <v>87</v>
      </c>
      <c r="C155" s="11" t="s">
        <v>803</v>
      </c>
      <c r="D155" s="11" t="s">
        <v>804</v>
      </c>
      <c r="E155" s="17" t="s">
        <v>154</v>
      </c>
      <c r="F155" s="11" t="s">
        <v>805</v>
      </c>
      <c r="G155" s="27">
        <v>530</v>
      </c>
      <c r="H155" s="11" t="s">
        <v>806</v>
      </c>
      <c r="I155" s="11" t="s">
        <v>220</v>
      </c>
      <c r="J155" s="28">
        <f>(31-8+1)/31+5</f>
        <v>5.7741935483871</v>
      </c>
      <c r="K155" s="27" t="s">
        <v>265</v>
      </c>
      <c r="L155" s="27">
        <v>4</v>
      </c>
      <c r="M155" s="28">
        <f>L155+L156+J155</f>
        <v>15.5161290322581</v>
      </c>
      <c r="N155" s="28">
        <v>125</v>
      </c>
      <c r="O155" s="28">
        <v>60</v>
      </c>
      <c r="P155" s="27">
        <f t="shared" si="23"/>
        <v>127200</v>
      </c>
      <c r="Q155" s="37">
        <v>129956</v>
      </c>
      <c r="R155" s="38" t="s">
        <v>807</v>
      </c>
      <c r="S155" s="38" t="s">
        <v>808</v>
      </c>
      <c r="T155" s="38" t="s">
        <v>807</v>
      </c>
      <c r="U155" s="38" t="str">
        <f t="shared" ref="U155:U160" si="25">"港澳处、律所、会所三方审核结论一致，符合给予租金补贴"&amp;Q155&amp;"元条件。"</f>
        <v>港澳处、律所、会所三方审核结论一致，符合给予租金补贴129956元条件。</v>
      </c>
      <c r="V155" s="2">
        <f t="shared" si="15"/>
        <v>127200</v>
      </c>
      <c r="W155" s="73">
        <f t="shared" si="16"/>
        <v>0</v>
      </c>
    </row>
    <row r="156" ht="150" customHeight="1" spans="1:23">
      <c r="A156" s="11"/>
      <c r="B156" s="11"/>
      <c r="C156" s="11"/>
      <c r="D156" s="11"/>
      <c r="E156" s="18"/>
      <c r="F156" s="11" t="s">
        <v>809</v>
      </c>
      <c r="G156" s="27">
        <v>8</v>
      </c>
      <c r="H156" s="11" t="s">
        <v>810</v>
      </c>
      <c r="I156" s="11"/>
      <c r="J156" s="28"/>
      <c r="K156" s="11" t="s">
        <v>811</v>
      </c>
      <c r="L156" s="27">
        <f>(31-9+1)/31+5</f>
        <v>5.74193548387097</v>
      </c>
      <c r="M156" s="28"/>
      <c r="N156" s="28">
        <v>147.46</v>
      </c>
      <c r="O156" s="28">
        <v>60</v>
      </c>
      <c r="P156" s="27">
        <f t="shared" si="23"/>
        <v>2756.12903225806</v>
      </c>
      <c r="Q156" s="37"/>
      <c r="R156" s="38"/>
      <c r="S156" s="38"/>
      <c r="T156" s="38"/>
      <c r="U156" s="38"/>
      <c r="V156" s="2">
        <f t="shared" si="15"/>
        <v>2756.12903225806</v>
      </c>
      <c r="W156" s="73">
        <f t="shared" si="16"/>
        <v>0</v>
      </c>
    </row>
    <row r="157" ht="300" customHeight="1" spans="1:23">
      <c r="A157" s="11">
        <v>86</v>
      </c>
      <c r="B157" s="11" t="s">
        <v>88</v>
      </c>
      <c r="C157" s="11" t="s">
        <v>289</v>
      </c>
      <c r="D157" s="11" t="s">
        <v>812</v>
      </c>
      <c r="E157" s="13" t="s">
        <v>154</v>
      </c>
      <c r="F157" s="11" t="s">
        <v>705</v>
      </c>
      <c r="G157" s="27">
        <v>10</v>
      </c>
      <c r="H157" s="11" t="s">
        <v>291</v>
      </c>
      <c r="I157" s="11" t="s">
        <v>157</v>
      </c>
      <c r="J157" s="28">
        <v>0</v>
      </c>
      <c r="K157" s="11" t="s">
        <v>292</v>
      </c>
      <c r="L157" s="27">
        <f>5+(31-5+1)/31</f>
        <v>5.87096774193548</v>
      </c>
      <c r="M157" s="28">
        <f t="shared" ref="M157:M159" si="26">L157+J157</f>
        <v>5.87096774193548</v>
      </c>
      <c r="N157" s="28">
        <v>150</v>
      </c>
      <c r="O157" s="28">
        <v>60</v>
      </c>
      <c r="P157" s="27">
        <f t="shared" si="23"/>
        <v>3522.58064516129</v>
      </c>
      <c r="Q157" s="37">
        <v>3522</v>
      </c>
      <c r="R157" s="38" t="s">
        <v>293</v>
      </c>
      <c r="S157" s="38" t="s">
        <v>294</v>
      </c>
      <c r="T157" s="38" t="s">
        <v>293</v>
      </c>
      <c r="U157" s="38" t="str">
        <f t="shared" si="25"/>
        <v>港澳处、律所、会所三方审核结论一致，符合给予租金补贴3522元条件。</v>
      </c>
      <c r="V157" s="2">
        <f t="shared" si="15"/>
        <v>3522.58064516129</v>
      </c>
      <c r="W157" s="73">
        <f t="shared" si="16"/>
        <v>0</v>
      </c>
    </row>
    <row r="158" ht="300" customHeight="1" spans="1:23">
      <c r="A158" s="11">
        <v>87</v>
      </c>
      <c r="B158" s="11" t="s">
        <v>89</v>
      </c>
      <c r="C158" s="11" t="s">
        <v>813</v>
      </c>
      <c r="D158" s="11" t="s">
        <v>814</v>
      </c>
      <c r="E158" s="13" t="s">
        <v>154</v>
      </c>
      <c r="F158" s="11" t="s">
        <v>815</v>
      </c>
      <c r="G158" s="27">
        <v>150</v>
      </c>
      <c r="H158" s="11" t="s">
        <v>816</v>
      </c>
      <c r="I158" s="11" t="s">
        <v>157</v>
      </c>
      <c r="J158" s="28">
        <v>0</v>
      </c>
      <c r="K158" s="27" t="s">
        <v>817</v>
      </c>
      <c r="L158" s="27">
        <f>13+(31-12+1)/31</f>
        <v>13.6451612903226</v>
      </c>
      <c r="M158" s="28">
        <f t="shared" si="26"/>
        <v>13.6451612903226</v>
      </c>
      <c r="N158" s="28">
        <f>20000/150</f>
        <v>133.333333333333</v>
      </c>
      <c r="O158" s="28">
        <v>60</v>
      </c>
      <c r="P158" s="27">
        <f t="shared" si="23"/>
        <v>122806.451612903</v>
      </c>
      <c r="Q158" s="37">
        <v>122806</v>
      </c>
      <c r="R158" s="38" t="s">
        <v>818</v>
      </c>
      <c r="S158" s="38" t="s">
        <v>819</v>
      </c>
      <c r="T158" s="38" t="s">
        <v>818</v>
      </c>
      <c r="U158" s="38" t="str">
        <f t="shared" si="25"/>
        <v>港澳处、律所、会所三方审核结论一致，符合给予租金补贴122806元条件。</v>
      </c>
      <c r="V158" s="2">
        <f t="shared" si="15"/>
        <v>122806.451612903</v>
      </c>
      <c r="W158" s="73">
        <f t="shared" si="16"/>
        <v>0</v>
      </c>
    </row>
    <row r="159" ht="300" customHeight="1" spans="1:23">
      <c r="A159" s="11">
        <v>88</v>
      </c>
      <c r="B159" s="11" t="s">
        <v>90</v>
      </c>
      <c r="C159" s="11" t="s">
        <v>820</v>
      </c>
      <c r="D159" s="11" t="s">
        <v>821</v>
      </c>
      <c r="E159" s="13" t="s">
        <v>154</v>
      </c>
      <c r="F159" s="11" t="s">
        <v>822</v>
      </c>
      <c r="G159" s="27">
        <v>10</v>
      </c>
      <c r="H159" s="11" t="s">
        <v>823</v>
      </c>
      <c r="I159" s="11" t="s">
        <v>157</v>
      </c>
      <c r="J159" s="28">
        <v>0</v>
      </c>
      <c r="K159" s="11" t="s">
        <v>824</v>
      </c>
      <c r="L159" s="27">
        <f>15+30/31</f>
        <v>15.9677419354839</v>
      </c>
      <c r="M159" s="28">
        <f t="shared" si="26"/>
        <v>15.9677419354839</v>
      </c>
      <c r="N159" s="28">
        <v>150</v>
      </c>
      <c r="O159" s="28">
        <v>60</v>
      </c>
      <c r="P159" s="27">
        <f t="shared" si="23"/>
        <v>9580.64516129032</v>
      </c>
      <c r="Q159" s="37">
        <v>9580</v>
      </c>
      <c r="R159" s="38" t="s">
        <v>825</v>
      </c>
      <c r="S159" s="38" t="s">
        <v>826</v>
      </c>
      <c r="T159" s="38" t="s">
        <v>825</v>
      </c>
      <c r="U159" s="38" t="str">
        <f t="shared" si="25"/>
        <v>港澳处、律所、会所三方审核结论一致，符合给予租金补贴9580元条件。</v>
      </c>
      <c r="V159" s="2">
        <f t="shared" si="15"/>
        <v>9580.64516129032</v>
      </c>
      <c r="W159" s="73">
        <f t="shared" si="16"/>
        <v>0</v>
      </c>
    </row>
    <row r="160" ht="150" customHeight="1" spans="1:23">
      <c r="A160" s="11">
        <v>89</v>
      </c>
      <c r="B160" s="11" t="s">
        <v>91</v>
      </c>
      <c r="C160" s="11" t="s">
        <v>827</v>
      </c>
      <c r="D160" s="11" t="s">
        <v>828</v>
      </c>
      <c r="E160" s="17" t="s">
        <v>154</v>
      </c>
      <c r="F160" s="11" t="s">
        <v>829</v>
      </c>
      <c r="G160" s="27">
        <v>112</v>
      </c>
      <c r="H160" s="11" t="s">
        <v>830</v>
      </c>
      <c r="I160" s="11" t="s">
        <v>220</v>
      </c>
      <c r="J160" s="28">
        <v>6</v>
      </c>
      <c r="K160" s="27" t="s">
        <v>265</v>
      </c>
      <c r="L160" s="27">
        <v>4</v>
      </c>
      <c r="M160" s="28">
        <f>J160+L160+L161</f>
        <v>18</v>
      </c>
      <c r="N160" s="28">
        <f>22000/112</f>
        <v>196.428571428571</v>
      </c>
      <c r="O160" s="28">
        <v>60</v>
      </c>
      <c r="P160" s="27">
        <f t="shared" si="23"/>
        <v>26880</v>
      </c>
      <c r="Q160" s="37">
        <v>48384</v>
      </c>
      <c r="R160" s="38" t="s">
        <v>831</v>
      </c>
      <c r="S160" s="38" t="s">
        <v>832</v>
      </c>
      <c r="T160" s="38" t="s">
        <v>831</v>
      </c>
      <c r="U160" s="38" t="str">
        <f t="shared" si="25"/>
        <v>港澳处、律所、会所三方审核结论一致，符合给予租金补贴48384元条件。</v>
      </c>
      <c r="V160" s="2">
        <f t="shared" si="15"/>
        <v>26880</v>
      </c>
      <c r="W160" s="73">
        <f t="shared" si="16"/>
        <v>0</v>
      </c>
    </row>
    <row r="161" ht="150" customHeight="1" spans="1:23">
      <c r="A161" s="11"/>
      <c r="B161" s="11"/>
      <c r="C161" s="11"/>
      <c r="D161" s="11"/>
      <c r="E161" s="18"/>
      <c r="F161" s="11" t="s">
        <v>833</v>
      </c>
      <c r="G161" s="27">
        <v>44.8</v>
      </c>
      <c r="H161" s="11" t="s">
        <v>834</v>
      </c>
      <c r="I161" s="11"/>
      <c r="J161" s="28"/>
      <c r="K161" s="11" t="s">
        <v>835</v>
      </c>
      <c r="L161" s="27">
        <v>8</v>
      </c>
      <c r="M161" s="28"/>
      <c r="N161" s="28">
        <f>10000/44.8</f>
        <v>223.214285714286</v>
      </c>
      <c r="O161" s="28">
        <v>60</v>
      </c>
      <c r="P161" s="27">
        <f t="shared" si="23"/>
        <v>21504</v>
      </c>
      <c r="Q161" s="37"/>
      <c r="R161" s="38"/>
      <c r="S161" s="38"/>
      <c r="T161" s="38"/>
      <c r="U161" s="38"/>
      <c r="V161" s="2">
        <f t="shared" si="15"/>
        <v>21504</v>
      </c>
      <c r="W161" s="73">
        <f t="shared" si="16"/>
        <v>0</v>
      </c>
    </row>
    <row r="162" ht="300" customHeight="1" spans="1:23">
      <c r="A162" s="11">
        <v>90</v>
      </c>
      <c r="B162" s="11" t="s">
        <v>92</v>
      </c>
      <c r="C162" s="11" t="s">
        <v>255</v>
      </c>
      <c r="D162" s="11" t="s">
        <v>836</v>
      </c>
      <c r="E162" s="13" t="s">
        <v>154</v>
      </c>
      <c r="F162" s="11" t="s">
        <v>837</v>
      </c>
      <c r="G162" s="27">
        <v>204.62</v>
      </c>
      <c r="H162" s="11" t="s">
        <v>838</v>
      </c>
      <c r="I162" s="11" t="s">
        <v>220</v>
      </c>
      <c r="J162" s="28">
        <v>10</v>
      </c>
      <c r="K162" s="11" t="s">
        <v>838</v>
      </c>
      <c r="L162" s="27">
        <f>(31-18+1)/31+10</f>
        <v>10.4516129032258</v>
      </c>
      <c r="M162" s="28">
        <f>L162+J162</f>
        <v>20.4516129032258</v>
      </c>
      <c r="N162" s="28">
        <f>21662.58/204.62</f>
        <v>105.867363894048</v>
      </c>
      <c r="O162" s="28">
        <f>P162/L162/G162</f>
        <v>52.9781663179323</v>
      </c>
      <c r="P162" s="27">
        <f>(21662.85*7+21662.58*2+21663.12+9970.94)*0.5</f>
        <v>113299.585</v>
      </c>
      <c r="Q162" s="37">
        <v>113299</v>
      </c>
      <c r="R162" s="38" t="s">
        <v>839</v>
      </c>
      <c r="S162" s="38" t="s">
        <v>840</v>
      </c>
      <c r="T162" s="38" t="s">
        <v>839</v>
      </c>
      <c r="U162" s="38" t="str">
        <f t="shared" ref="U162:U164" si="27">"港澳处、律所、会所三方审核结论一致，符合给予租金补贴"&amp;Q162&amp;"元条件。"</f>
        <v>港澳处、律所、会所三方审核结论一致，符合给予租金补贴113299元条件。</v>
      </c>
      <c r="V162" s="2">
        <f t="shared" si="15"/>
        <v>113299.585</v>
      </c>
      <c r="W162" s="73">
        <f t="shared" si="16"/>
        <v>0</v>
      </c>
    </row>
    <row r="163" s="3" customFormat="1" ht="300" customHeight="1" spans="1:23">
      <c r="A163" s="11">
        <v>91</v>
      </c>
      <c r="B163" s="11" t="s">
        <v>93</v>
      </c>
      <c r="C163" s="11" t="s">
        <v>841</v>
      </c>
      <c r="D163" s="11" t="s">
        <v>842</v>
      </c>
      <c r="E163" s="11" t="s">
        <v>154</v>
      </c>
      <c r="F163" s="11" t="s">
        <v>843</v>
      </c>
      <c r="G163" s="27">
        <v>5</v>
      </c>
      <c r="H163" s="11" t="s">
        <v>844</v>
      </c>
      <c r="I163" s="11" t="s">
        <v>157</v>
      </c>
      <c r="J163" s="28">
        <v>0</v>
      </c>
      <c r="K163" s="27" t="s">
        <v>521</v>
      </c>
      <c r="L163" s="27">
        <f>(31-15+1)/31+5</f>
        <v>5.54838709677419</v>
      </c>
      <c r="M163" s="28">
        <f>L163+J163</f>
        <v>5.54838709677419</v>
      </c>
      <c r="N163" s="28">
        <f>1000/5</f>
        <v>200</v>
      </c>
      <c r="O163" s="28">
        <v>60</v>
      </c>
      <c r="P163" s="27">
        <f t="shared" ref="P163:P166" si="28">G163*L163*60</f>
        <v>1664.51612903226</v>
      </c>
      <c r="Q163" s="37">
        <v>1664</v>
      </c>
      <c r="R163" s="38" t="s">
        <v>845</v>
      </c>
      <c r="S163" s="38" t="s">
        <v>846</v>
      </c>
      <c r="T163" s="38" t="s">
        <v>845</v>
      </c>
      <c r="U163" s="38" t="str">
        <f t="shared" si="27"/>
        <v>港澳处、律所、会所三方审核结论一致，符合给予租金补贴1664元条件。</v>
      </c>
      <c r="V163" s="2">
        <f t="shared" si="15"/>
        <v>1664.51612903226</v>
      </c>
      <c r="W163" s="73">
        <f t="shared" si="16"/>
        <v>0</v>
      </c>
    </row>
    <row r="164" ht="150" customHeight="1" spans="1:23">
      <c r="A164" s="11">
        <v>92</v>
      </c>
      <c r="B164" s="11" t="s">
        <v>94</v>
      </c>
      <c r="C164" s="11" t="s">
        <v>847</v>
      </c>
      <c r="D164" s="11" t="s">
        <v>848</v>
      </c>
      <c r="E164" s="17" t="s">
        <v>154</v>
      </c>
      <c r="F164" s="11" t="s">
        <v>849</v>
      </c>
      <c r="G164" s="27">
        <v>168.53</v>
      </c>
      <c r="H164" s="11" t="s">
        <v>643</v>
      </c>
      <c r="I164" s="11" t="s">
        <v>157</v>
      </c>
      <c r="J164" s="28">
        <v>0</v>
      </c>
      <c r="K164" s="27" t="s">
        <v>602</v>
      </c>
      <c r="L164" s="27">
        <v>6</v>
      </c>
      <c r="M164" s="28">
        <f>18</f>
        <v>18</v>
      </c>
      <c r="N164" s="28">
        <v>90.04</v>
      </c>
      <c r="O164" s="28">
        <f>N164/2</f>
        <v>45.02</v>
      </c>
      <c r="P164" s="27">
        <f>G164*90.04*L164*0.5</f>
        <v>45523.3236</v>
      </c>
      <c r="Q164" s="37">
        <v>120739</v>
      </c>
      <c r="R164" s="38" t="s">
        <v>850</v>
      </c>
      <c r="S164" s="38" t="s">
        <v>851</v>
      </c>
      <c r="T164" s="38" t="s">
        <v>850</v>
      </c>
      <c r="U164" s="38" t="str">
        <f t="shared" si="27"/>
        <v>港澳处、律所、会所三方审核结论一致，符合给予租金补贴120739元条件。</v>
      </c>
      <c r="V164" s="2">
        <f t="shared" si="15"/>
        <v>45523.3236</v>
      </c>
      <c r="W164" s="73">
        <f t="shared" si="16"/>
        <v>0</v>
      </c>
    </row>
    <row r="165" ht="150" customHeight="1" spans="1:23">
      <c r="A165" s="11"/>
      <c r="B165" s="11"/>
      <c r="C165" s="11"/>
      <c r="D165" s="11"/>
      <c r="E165" s="20"/>
      <c r="F165" s="11" t="s">
        <v>852</v>
      </c>
      <c r="G165" s="27">
        <v>74.17</v>
      </c>
      <c r="H165" s="11" t="s">
        <v>853</v>
      </c>
      <c r="I165" s="11"/>
      <c r="J165" s="28"/>
      <c r="K165" s="11" t="s">
        <v>853</v>
      </c>
      <c r="L165" s="27">
        <v>11</v>
      </c>
      <c r="M165" s="28"/>
      <c r="N165" s="28">
        <f>10400/74.17</f>
        <v>140.218417149791</v>
      </c>
      <c r="O165" s="28">
        <v>60</v>
      </c>
      <c r="P165" s="27">
        <f t="shared" si="28"/>
        <v>48952.2</v>
      </c>
      <c r="Q165" s="37"/>
      <c r="R165" s="38"/>
      <c r="S165" s="38"/>
      <c r="T165" s="38"/>
      <c r="U165" s="38"/>
      <c r="V165" s="2">
        <f t="shared" si="15"/>
        <v>48952.2</v>
      </c>
      <c r="W165" s="73">
        <f t="shared" si="16"/>
        <v>0</v>
      </c>
    </row>
    <row r="166" ht="150" customHeight="1" spans="1:23">
      <c r="A166" s="11"/>
      <c r="B166" s="11"/>
      <c r="C166" s="11"/>
      <c r="D166" s="11"/>
      <c r="E166" s="20"/>
      <c r="F166" s="11" t="s">
        <v>854</v>
      </c>
      <c r="G166" s="27">
        <v>39.55</v>
      </c>
      <c r="H166" s="11" t="s">
        <v>855</v>
      </c>
      <c r="I166" s="11"/>
      <c r="J166" s="28"/>
      <c r="K166" s="11" t="s">
        <v>855</v>
      </c>
      <c r="L166" s="27">
        <f>(28-3+1)/28+10</f>
        <v>10.9285714285714</v>
      </c>
      <c r="M166" s="28"/>
      <c r="N166" s="28">
        <f>5500/39.55</f>
        <v>139.064475347661</v>
      </c>
      <c r="O166" s="28">
        <v>60</v>
      </c>
      <c r="P166" s="27">
        <f t="shared" si="28"/>
        <v>25933.5</v>
      </c>
      <c r="Q166" s="37"/>
      <c r="R166" s="38"/>
      <c r="S166" s="38"/>
      <c r="T166" s="38"/>
      <c r="U166" s="38"/>
      <c r="V166" s="2">
        <f t="shared" si="15"/>
        <v>25933.5</v>
      </c>
      <c r="W166" s="73">
        <f t="shared" si="16"/>
        <v>0</v>
      </c>
    </row>
    <row r="167" ht="150" customHeight="1" spans="1:23">
      <c r="A167" s="11"/>
      <c r="B167" s="11"/>
      <c r="C167" s="11"/>
      <c r="D167" s="11"/>
      <c r="E167" s="18"/>
      <c r="F167" s="11" t="s">
        <v>856</v>
      </c>
      <c r="G167" s="27">
        <v>156.25</v>
      </c>
      <c r="H167" s="11" t="s">
        <v>857</v>
      </c>
      <c r="I167" s="11"/>
      <c r="J167" s="28"/>
      <c r="K167" s="27" t="s">
        <v>858</v>
      </c>
      <c r="L167" s="27">
        <v>1</v>
      </c>
      <c r="M167" s="28"/>
      <c r="N167" s="28">
        <v>4.22</v>
      </c>
      <c r="O167" s="28">
        <f>4620/7/156.25/2</f>
        <v>2.112</v>
      </c>
      <c r="P167" s="27">
        <f>4620/7*0.5</f>
        <v>330</v>
      </c>
      <c r="Q167" s="37"/>
      <c r="R167" s="38"/>
      <c r="S167" s="38"/>
      <c r="T167" s="38"/>
      <c r="U167" s="38"/>
      <c r="V167" s="2">
        <f t="shared" si="15"/>
        <v>330</v>
      </c>
      <c r="W167" s="73">
        <f t="shared" si="16"/>
        <v>0</v>
      </c>
    </row>
    <row r="168" ht="300" customHeight="1" spans="1:23">
      <c r="A168" s="11">
        <v>93</v>
      </c>
      <c r="B168" s="11" t="s">
        <v>95</v>
      </c>
      <c r="C168" s="11" t="s">
        <v>859</v>
      </c>
      <c r="D168" s="11" t="s">
        <v>860</v>
      </c>
      <c r="E168" s="13" t="s">
        <v>154</v>
      </c>
      <c r="F168" s="11" t="s">
        <v>861</v>
      </c>
      <c r="G168" s="27">
        <v>16</v>
      </c>
      <c r="H168" s="11" t="s">
        <v>424</v>
      </c>
      <c r="I168" s="11" t="s">
        <v>157</v>
      </c>
      <c r="J168" s="28">
        <v>0</v>
      </c>
      <c r="K168" s="11" t="s">
        <v>425</v>
      </c>
      <c r="L168" s="27">
        <v>11</v>
      </c>
      <c r="M168" s="28">
        <f>J168+L168</f>
        <v>11</v>
      </c>
      <c r="N168" s="28">
        <f>3000/16</f>
        <v>187.5</v>
      </c>
      <c r="O168" s="28">
        <v>60</v>
      </c>
      <c r="P168" s="27">
        <f t="shared" ref="P168:P179" si="29">G168*L168*60</f>
        <v>10560</v>
      </c>
      <c r="Q168" s="37">
        <v>10560</v>
      </c>
      <c r="R168" s="38" t="s">
        <v>862</v>
      </c>
      <c r="S168" s="38" t="s">
        <v>863</v>
      </c>
      <c r="T168" s="38" t="s">
        <v>862</v>
      </c>
      <c r="U168" s="38" t="str">
        <f t="shared" ref="U168:U173" si="30">"港澳处、律所、会所三方审核结论一致，符合给予租金补贴"&amp;Q168&amp;"元条件。"</f>
        <v>港澳处、律所、会所三方审核结论一致，符合给予租金补贴10560元条件。</v>
      </c>
      <c r="V168" s="2">
        <f t="shared" si="15"/>
        <v>10560</v>
      </c>
      <c r="W168" s="73">
        <f t="shared" si="16"/>
        <v>0</v>
      </c>
    </row>
    <row r="169" ht="150" customHeight="1" spans="1:23">
      <c r="A169" s="11">
        <v>94</v>
      </c>
      <c r="B169" s="11" t="s">
        <v>96</v>
      </c>
      <c r="C169" s="11" t="s">
        <v>503</v>
      </c>
      <c r="D169" s="11" t="s">
        <v>864</v>
      </c>
      <c r="E169" s="17" t="s">
        <v>154</v>
      </c>
      <c r="F169" s="11" t="s">
        <v>865</v>
      </c>
      <c r="G169" s="27">
        <v>20</v>
      </c>
      <c r="H169" s="11" t="s">
        <v>866</v>
      </c>
      <c r="I169" s="11" t="s">
        <v>157</v>
      </c>
      <c r="J169" s="28">
        <v>0</v>
      </c>
      <c r="K169" s="27" t="s">
        <v>867</v>
      </c>
      <c r="L169" s="27">
        <v>4</v>
      </c>
      <c r="M169" s="28">
        <f>L169+L172+J169</f>
        <v>10.4838709677419</v>
      </c>
      <c r="N169" s="28">
        <f>(3120+5760)/4/20</f>
        <v>111</v>
      </c>
      <c r="O169" s="28">
        <f>N169*0.5</f>
        <v>55.5</v>
      </c>
      <c r="P169" s="27">
        <f>(3120+5760)*0.5</f>
        <v>4440</v>
      </c>
      <c r="Q169" s="37">
        <v>22730</v>
      </c>
      <c r="R169" s="38" t="s">
        <v>868</v>
      </c>
      <c r="S169" s="38" t="s">
        <v>869</v>
      </c>
      <c r="T169" s="38" t="s">
        <v>868</v>
      </c>
      <c r="U169" s="38" t="str">
        <f t="shared" si="30"/>
        <v>港澳处、律所、会所三方审核结论一致，符合给予租金补贴22730元条件。</v>
      </c>
      <c r="V169" s="2">
        <f t="shared" si="15"/>
        <v>4440</v>
      </c>
      <c r="W169" s="73">
        <f t="shared" si="16"/>
        <v>0</v>
      </c>
    </row>
    <row r="170" ht="150" customHeight="1" spans="1:23">
      <c r="A170" s="11"/>
      <c r="B170" s="11"/>
      <c r="C170" s="11"/>
      <c r="D170" s="11"/>
      <c r="E170" s="20"/>
      <c r="F170" s="11" t="s">
        <v>865</v>
      </c>
      <c r="G170" s="27">
        <v>20</v>
      </c>
      <c r="H170" s="11" t="s">
        <v>866</v>
      </c>
      <c r="I170" s="11"/>
      <c r="J170" s="28"/>
      <c r="K170" s="27" t="s">
        <v>870</v>
      </c>
      <c r="L170" s="27">
        <v>2</v>
      </c>
      <c r="M170" s="28"/>
      <c r="N170" s="28">
        <f>150</f>
        <v>150</v>
      </c>
      <c r="O170" s="28">
        <v>60</v>
      </c>
      <c r="P170" s="27">
        <f>G169*2*60</f>
        <v>2400</v>
      </c>
      <c r="Q170" s="37"/>
      <c r="R170" s="38"/>
      <c r="S170" s="38"/>
      <c r="T170" s="38"/>
      <c r="U170" s="38"/>
      <c r="V170" s="2">
        <f t="shared" si="15"/>
        <v>2400</v>
      </c>
      <c r="W170" s="73">
        <f t="shared" si="16"/>
        <v>0</v>
      </c>
    </row>
    <row r="171" ht="150" customHeight="1" spans="1:23">
      <c r="A171" s="11"/>
      <c r="B171" s="11"/>
      <c r="C171" s="11"/>
      <c r="D171" s="11"/>
      <c r="E171" s="20"/>
      <c r="F171" s="11" t="s">
        <v>865</v>
      </c>
      <c r="G171" s="27">
        <v>20</v>
      </c>
      <c r="H171" s="11" t="s">
        <v>866</v>
      </c>
      <c r="I171" s="11"/>
      <c r="J171" s="28"/>
      <c r="K171" s="27" t="s">
        <v>871</v>
      </c>
      <c r="L171" s="27">
        <v>10</v>
      </c>
      <c r="M171" s="28"/>
      <c r="N171" s="28">
        <f>150</f>
        <v>150</v>
      </c>
      <c r="O171" s="28">
        <v>60</v>
      </c>
      <c r="P171" s="27">
        <f>G170*10*60</f>
        <v>12000</v>
      </c>
      <c r="Q171" s="37"/>
      <c r="R171" s="38"/>
      <c r="S171" s="38"/>
      <c r="T171" s="38"/>
      <c r="U171" s="38"/>
      <c r="V171" s="2">
        <f t="shared" si="15"/>
        <v>12000</v>
      </c>
      <c r="W171" s="73">
        <f t="shared" si="16"/>
        <v>0</v>
      </c>
    </row>
    <row r="172" ht="150" customHeight="1" spans="1:23">
      <c r="A172" s="11"/>
      <c r="B172" s="11"/>
      <c r="C172" s="11"/>
      <c r="D172" s="11"/>
      <c r="E172" s="18"/>
      <c r="F172" s="11" t="s">
        <v>872</v>
      </c>
      <c r="G172" s="27">
        <v>10</v>
      </c>
      <c r="H172" s="11" t="s">
        <v>257</v>
      </c>
      <c r="I172" s="11"/>
      <c r="J172" s="28"/>
      <c r="K172" s="11" t="s">
        <v>206</v>
      </c>
      <c r="L172" s="27">
        <f>(31-17+1)/31+6</f>
        <v>6.48387096774194</v>
      </c>
      <c r="M172" s="28"/>
      <c r="N172" s="28">
        <v>150</v>
      </c>
      <c r="O172" s="28">
        <v>60</v>
      </c>
      <c r="P172" s="27">
        <f t="shared" si="29"/>
        <v>3890.32258064516</v>
      </c>
      <c r="Q172" s="37"/>
      <c r="R172" s="38"/>
      <c r="S172" s="38"/>
      <c r="T172" s="38"/>
      <c r="U172" s="38"/>
      <c r="V172" s="2">
        <f t="shared" si="15"/>
        <v>3890.32258064516</v>
      </c>
      <c r="W172" s="73">
        <f t="shared" si="16"/>
        <v>0</v>
      </c>
    </row>
    <row r="173" ht="150" customHeight="1" spans="1:23">
      <c r="A173" s="11">
        <v>95</v>
      </c>
      <c r="B173" s="11" t="s">
        <v>97</v>
      </c>
      <c r="C173" s="11" t="s">
        <v>873</v>
      </c>
      <c r="D173" s="11" t="s">
        <v>874</v>
      </c>
      <c r="E173" s="17" t="s">
        <v>154</v>
      </c>
      <c r="F173" s="11" t="s">
        <v>875</v>
      </c>
      <c r="G173" s="26">
        <v>10</v>
      </c>
      <c r="H173" s="11" t="s">
        <v>876</v>
      </c>
      <c r="I173" s="26" t="s">
        <v>157</v>
      </c>
      <c r="J173" s="28">
        <v>0</v>
      </c>
      <c r="K173" s="11" t="s">
        <v>876</v>
      </c>
      <c r="L173" s="26">
        <v>2</v>
      </c>
      <c r="M173" s="28">
        <f>J173+L173+L174</f>
        <v>5</v>
      </c>
      <c r="N173" s="28">
        <v>130</v>
      </c>
      <c r="O173" s="28">
        <v>60</v>
      </c>
      <c r="P173" s="26">
        <f t="shared" si="29"/>
        <v>1200</v>
      </c>
      <c r="Q173" s="37">
        <v>6762</v>
      </c>
      <c r="R173" s="38" t="s">
        <v>877</v>
      </c>
      <c r="S173" s="38" t="s">
        <v>878</v>
      </c>
      <c r="T173" s="38" t="s">
        <v>877</v>
      </c>
      <c r="U173" s="38" t="str">
        <f t="shared" si="30"/>
        <v>港澳处、律所、会所三方审核结论一致，符合给予租金补贴6762元条件。</v>
      </c>
      <c r="V173" s="2">
        <f t="shared" si="15"/>
        <v>1200</v>
      </c>
      <c r="W173" s="73">
        <f t="shared" si="16"/>
        <v>0</v>
      </c>
    </row>
    <row r="174" ht="150" customHeight="1" spans="1:23">
      <c r="A174" s="11"/>
      <c r="B174" s="11"/>
      <c r="C174" s="11"/>
      <c r="D174" s="11"/>
      <c r="E174" s="18"/>
      <c r="F174" s="11" t="s">
        <v>875</v>
      </c>
      <c r="G174" s="26">
        <v>30.9</v>
      </c>
      <c r="H174" s="11" t="s">
        <v>879</v>
      </c>
      <c r="I174" s="26"/>
      <c r="J174" s="28"/>
      <c r="K174" s="11" t="s">
        <v>273</v>
      </c>
      <c r="L174" s="26">
        <v>3</v>
      </c>
      <c r="M174" s="28"/>
      <c r="N174" s="28">
        <v>147.46</v>
      </c>
      <c r="O174" s="28">
        <v>60</v>
      </c>
      <c r="P174" s="26">
        <f t="shared" si="29"/>
        <v>5562</v>
      </c>
      <c r="Q174" s="37"/>
      <c r="R174" s="38"/>
      <c r="S174" s="38"/>
      <c r="T174" s="38"/>
      <c r="U174" s="38"/>
      <c r="V174" s="2">
        <f t="shared" si="15"/>
        <v>5562</v>
      </c>
      <c r="W174" s="73">
        <f t="shared" si="16"/>
        <v>0</v>
      </c>
    </row>
    <row r="175" ht="300" customHeight="1" spans="1:23">
      <c r="A175" s="11">
        <v>96</v>
      </c>
      <c r="B175" s="11" t="s">
        <v>98</v>
      </c>
      <c r="C175" s="11" t="s">
        <v>880</v>
      </c>
      <c r="D175" s="11" t="s">
        <v>881</v>
      </c>
      <c r="E175" s="13" t="s">
        <v>154</v>
      </c>
      <c r="F175" s="11" t="s">
        <v>882</v>
      </c>
      <c r="G175" s="26">
        <v>10</v>
      </c>
      <c r="H175" s="11" t="s">
        <v>782</v>
      </c>
      <c r="I175" s="26" t="s">
        <v>157</v>
      </c>
      <c r="J175" s="28">
        <v>0</v>
      </c>
      <c r="K175" s="11" t="s">
        <v>314</v>
      </c>
      <c r="L175" s="26">
        <v>5</v>
      </c>
      <c r="M175" s="28">
        <f>L175+J175</f>
        <v>5</v>
      </c>
      <c r="N175" s="28">
        <v>130</v>
      </c>
      <c r="O175" s="28">
        <v>60</v>
      </c>
      <c r="P175" s="26">
        <f t="shared" si="29"/>
        <v>3000</v>
      </c>
      <c r="Q175" s="37">
        <v>3000</v>
      </c>
      <c r="R175" s="38" t="s">
        <v>883</v>
      </c>
      <c r="S175" s="38" t="s">
        <v>884</v>
      </c>
      <c r="T175" s="38" t="s">
        <v>883</v>
      </c>
      <c r="U175" s="38" t="str">
        <f t="shared" ref="U175:U179" si="31">"港澳处、律所、会所三方审核结论一致，符合给予租金补贴"&amp;Q175&amp;"元条件。"</f>
        <v>港澳处、律所、会所三方审核结论一致，符合给予租金补贴3000元条件。</v>
      </c>
      <c r="V175" s="2">
        <f t="shared" si="15"/>
        <v>3000</v>
      </c>
      <c r="W175" s="73">
        <f t="shared" si="16"/>
        <v>0</v>
      </c>
    </row>
    <row r="176" ht="150" customHeight="1" spans="1:23">
      <c r="A176" s="11">
        <v>97</v>
      </c>
      <c r="B176" s="11" t="s">
        <v>99</v>
      </c>
      <c r="C176" s="11" t="s">
        <v>885</v>
      </c>
      <c r="D176" s="11" t="s">
        <v>886</v>
      </c>
      <c r="E176" s="17" t="s">
        <v>154</v>
      </c>
      <c r="F176" s="11" t="s">
        <v>887</v>
      </c>
      <c r="G176" s="26">
        <v>59</v>
      </c>
      <c r="H176" s="11" t="s">
        <v>888</v>
      </c>
      <c r="I176" s="26" t="s">
        <v>157</v>
      </c>
      <c r="J176" s="28">
        <v>0</v>
      </c>
      <c r="K176" s="11" t="s">
        <v>565</v>
      </c>
      <c r="L176" s="26">
        <f>22/31+8</f>
        <v>8.70967741935484</v>
      </c>
      <c r="M176" s="28">
        <f>L176</f>
        <v>8.70967741935484</v>
      </c>
      <c r="N176" s="28">
        <v>153.38</v>
      </c>
      <c r="O176" s="28">
        <v>60</v>
      </c>
      <c r="P176" s="26">
        <f t="shared" si="29"/>
        <v>30832.2580645161</v>
      </c>
      <c r="Q176" s="37">
        <v>300000</v>
      </c>
      <c r="R176" s="38" t="s">
        <v>476</v>
      </c>
      <c r="S176" s="38" t="s">
        <v>477</v>
      </c>
      <c r="T176" s="38" t="s">
        <v>476</v>
      </c>
      <c r="U176" s="38" t="str">
        <f t="shared" si="31"/>
        <v>港澳处、律所、会所三方审核结论一致，符合给予租金补贴300000元条件。</v>
      </c>
      <c r="V176" s="2">
        <f t="shared" si="15"/>
        <v>30832.2580645161</v>
      </c>
      <c r="W176" s="73">
        <f t="shared" si="16"/>
        <v>0</v>
      </c>
    </row>
    <row r="177" ht="150" customHeight="1" spans="1:23">
      <c r="A177" s="11"/>
      <c r="B177" s="11"/>
      <c r="C177" s="11"/>
      <c r="D177" s="11"/>
      <c r="E177" s="18"/>
      <c r="F177" s="11" t="s">
        <v>889</v>
      </c>
      <c r="G177" s="26">
        <v>757.6</v>
      </c>
      <c r="H177" s="11" t="s">
        <v>257</v>
      </c>
      <c r="I177" s="26"/>
      <c r="J177" s="28"/>
      <c r="K177" s="26" t="s">
        <v>206</v>
      </c>
      <c r="L177" s="26">
        <f>15/31+6</f>
        <v>6.48387096774194</v>
      </c>
      <c r="M177" s="28"/>
      <c r="N177" s="28">
        <v>158.38</v>
      </c>
      <c r="O177" s="28">
        <v>60</v>
      </c>
      <c r="P177" s="26">
        <f t="shared" si="29"/>
        <v>294730.838709677</v>
      </c>
      <c r="Q177" s="37"/>
      <c r="R177" s="38"/>
      <c r="S177" s="38"/>
      <c r="T177" s="38"/>
      <c r="U177" s="38"/>
      <c r="V177" s="2">
        <f t="shared" si="15"/>
        <v>294730.838709677</v>
      </c>
      <c r="W177" s="73">
        <f t="shared" si="16"/>
        <v>0</v>
      </c>
    </row>
    <row r="178" ht="300" customHeight="1" spans="1:23">
      <c r="A178" s="11">
        <v>98</v>
      </c>
      <c r="B178" s="11" t="s">
        <v>100</v>
      </c>
      <c r="C178" s="11" t="s">
        <v>890</v>
      </c>
      <c r="D178" s="11" t="s">
        <v>891</v>
      </c>
      <c r="E178" s="13" t="s">
        <v>154</v>
      </c>
      <c r="F178" s="11" t="s">
        <v>892</v>
      </c>
      <c r="G178" s="26">
        <v>10</v>
      </c>
      <c r="H178" s="11" t="s">
        <v>613</v>
      </c>
      <c r="I178" s="26" t="s">
        <v>157</v>
      </c>
      <c r="J178" s="28">
        <v>0</v>
      </c>
      <c r="K178" s="26" t="s">
        <v>602</v>
      </c>
      <c r="L178" s="26">
        <v>6</v>
      </c>
      <c r="M178" s="28">
        <f>L178</f>
        <v>6</v>
      </c>
      <c r="N178" s="28">
        <v>150</v>
      </c>
      <c r="O178" s="28">
        <v>60</v>
      </c>
      <c r="P178" s="26">
        <f t="shared" si="29"/>
        <v>3600</v>
      </c>
      <c r="Q178" s="37">
        <v>3600</v>
      </c>
      <c r="R178" s="38" t="s">
        <v>759</v>
      </c>
      <c r="S178" s="38" t="s">
        <v>760</v>
      </c>
      <c r="T178" s="38" t="s">
        <v>759</v>
      </c>
      <c r="U178" s="38" t="str">
        <f t="shared" si="31"/>
        <v>港澳处、律所、会所三方审核结论一致，符合给予租金补贴3600元条件。</v>
      </c>
      <c r="V178" s="2">
        <f t="shared" si="15"/>
        <v>3600</v>
      </c>
      <c r="W178" s="73">
        <f t="shared" si="16"/>
        <v>0</v>
      </c>
    </row>
    <row r="179" ht="150" customHeight="1" spans="1:23">
      <c r="A179" s="11">
        <v>99</v>
      </c>
      <c r="B179" s="11" t="s">
        <v>101</v>
      </c>
      <c r="C179" s="40" t="s">
        <v>820</v>
      </c>
      <c r="D179" s="11" t="s">
        <v>893</v>
      </c>
      <c r="E179" s="17" t="s">
        <v>154</v>
      </c>
      <c r="F179" s="11" t="s">
        <v>894</v>
      </c>
      <c r="G179" s="26">
        <v>10</v>
      </c>
      <c r="H179" s="11" t="s">
        <v>834</v>
      </c>
      <c r="I179" s="27" t="s">
        <v>220</v>
      </c>
      <c r="J179" s="28">
        <f>8+12/31</f>
        <v>8.38709677419355</v>
      </c>
      <c r="K179" s="26" t="s">
        <v>835</v>
      </c>
      <c r="L179" s="26">
        <v>8</v>
      </c>
      <c r="M179" s="28">
        <f>L181+L179+J179+L180</f>
        <v>20</v>
      </c>
      <c r="N179" s="28">
        <v>150</v>
      </c>
      <c r="O179" s="28">
        <v>60</v>
      </c>
      <c r="P179" s="26">
        <f t="shared" si="29"/>
        <v>4800</v>
      </c>
      <c r="Q179" s="37">
        <v>28049</v>
      </c>
      <c r="R179" s="38" t="s">
        <v>895</v>
      </c>
      <c r="S179" s="38" t="s">
        <v>896</v>
      </c>
      <c r="T179" s="38" t="s">
        <v>895</v>
      </c>
      <c r="U179" s="38" t="str">
        <f t="shared" si="31"/>
        <v>港澳处、律所、会所三方审核结论一致，符合给予租金补贴28049元条件。</v>
      </c>
      <c r="V179" s="2">
        <f t="shared" si="15"/>
        <v>4800</v>
      </c>
      <c r="W179" s="73">
        <f t="shared" si="16"/>
        <v>0</v>
      </c>
    </row>
    <row r="180" ht="150" customHeight="1" spans="1:23">
      <c r="A180" s="11"/>
      <c r="B180" s="11"/>
      <c r="C180" s="41"/>
      <c r="D180" s="11"/>
      <c r="E180" s="20"/>
      <c r="F180" s="11" t="s">
        <v>894</v>
      </c>
      <c r="G180" s="26">
        <v>108</v>
      </c>
      <c r="H180" s="11" t="s">
        <v>897</v>
      </c>
      <c r="I180" s="27"/>
      <c r="J180" s="28"/>
      <c r="K180" s="26" t="s">
        <v>898</v>
      </c>
      <c r="L180" s="26">
        <v>2</v>
      </c>
      <c r="M180" s="28"/>
      <c r="N180" s="28">
        <f>(86976.7+2609.3)/7/G180</f>
        <v>118.5</v>
      </c>
      <c r="O180" s="28">
        <f t="shared" ref="O180:O183" si="32">N180*0.5</f>
        <v>59.25</v>
      </c>
      <c r="P180" s="26">
        <f>(86976.7+2609.3)/7*2*0.5</f>
        <v>12798</v>
      </c>
      <c r="Q180" s="37"/>
      <c r="R180" s="38"/>
      <c r="S180" s="38"/>
      <c r="T180" s="38"/>
      <c r="U180" s="38"/>
      <c r="V180" s="2">
        <f t="shared" si="15"/>
        <v>12798</v>
      </c>
      <c r="W180" s="73">
        <f t="shared" si="16"/>
        <v>0</v>
      </c>
    </row>
    <row r="181" ht="150" customHeight="1" spans="1:23">
      <c r="A181" s="11"/>
      <c r="B181" s="11"/>
      <c r="C181" s="42"/>
      <c r="D181" s="11"/>
      <c r="E181" s="18"/>
      <c r="F181" s="11" t="s">
        <v>894</v>
      </c>
      <c r="G181" s="26">
        <v>108</v>
      </c>
      <c r="H181" s="11" t="s">
        <v>897</v>
      </c>
      <c r="I181" s="27"/>
      <c r="J181" s="28"/>
      <c r="K181" s="26" t="s">
        <v>899</v>
      </c>
      <c r="L181" s="26">
        <f>19/31+1</f>
        <v>1.61290322580645</v>
      </c>
      <c r="M181" s="28"/>
      <c r="N181" s="28">
        <v>143.38</v>
      </c>
      <c r="O181" s="28">
        <v>60</v>
      </c>
      <c r="P181" s="26">
        <f>G181*(19/31+1)*60</f>
        <v>10451.6129032258</v>
      </c>
      <c r="Q181" s="37"/>
      <c r="R181" s="38"/>
      <c r="S181" s="38"/>
      <c r="T181" s="38"/>
      <c r="U181" s="38"/>
      <c r="V181" s="2">
        <f t="shared" si="15"/>
        <v>10451.6129032258</v>
      </c>
      <c r="W181" s="73">
        <f t="shared" si="16"/>
        <v>0</v>
      </c>
    </row>
    <row r="182" ht="150" customHeight="1" spans="1:23">
      <c r="A182" s="11">
        <v>100</v>
      </c>
      <c r="B182" s="11" t="s">
        <v>102</v>
      </c>
      <c r="C182" s="11" t="s">
        <v>900</v>
      </c>
      <c r="D182" s="11" t="s">
        <v>901</v>
      </c>
      <c r="E182" s="17" t="s">
        <v>154</v>
      </c>
      <c r="F182" s="11" t="s">
        <v>902</v>
      </c>
      <c r="G182" s="26">
        <v>95.62</v>
      </c>
      <c r="H182" s="11" t="s">
        <v>903</v>
      </c>
      <c r="I182" s="27" t="s">
        <v>220</v>
      </c>
      <c r="J182" s="28">
        <v>12</v>
      </c>
      <c r="K182" s="26" t="s">
        <v>904</v>
      </c>
      <c r="L182" s="26">
        <v>1</v>
      </c>
      <c r="M182" s="28">
        <f>L182+L183+J182</f>
        <v>24</v>
      </c>
      <c r="N182" s="28">
        <f>(4349.15+217.46+4009.96+200.5)/G182/L182</f>
        <v>91.791152478561</v>
      </c>
      <c r="O182" s="28">
        <f t="shared" si="32"/>
        <v>45.8955762392805</v>
      </c>
      <c r="P182" s="26">
        <f>(4349.15+217.46+4009.96+200.5)*0.5</f>
        <v>4388.535</v>
      </c>
      <c r="Q182" s="37">
        <v>27546</v>
      </c>
      <c r="R182" s="38" t="s">
        <v>905</v>
      </c>
      <c r="S182" s="38" t="s">
        <v>906</v>
      </c>
      <c r="T182" s="38" t="s">
        <v>905</v>
      </c>
      <c r="U182" s="38" t="str">
        <f t="shared" ref="U182:U191" si="33">"港澳处、律所、会所三方审核结论一致，符合给予租金补贴"&amp;Q182&amp;"元条件。"</f>
        <v>港澳处、律所、会所三方审核结论一致，符合给予租金补贴27546元条件。</v>
      </c>
      <c r="V182" s="2">
        <f t="shared" si="15"/>
        <v>4388.535</v>
      </c>
      <c r="W182" s="73">
        <f t="shared" si="16"/>
        <v>0</v>
      </c>
    </row>
    <row r="183" ht="150" customHeight="1" spans="1:23">
      <c r="A183" s="11"/>
      <c r="B183" s="11"/>
      <c r="C183" s="11"/>
      <c r="D183" s="11"/>
      <c r="E183" s="18"/>
      <c r="F183" s="11" t="s">
        <v>907</v>
      </c>
      <c r="G183" s="26">
        <v>45.87</v>
      </c>
      <c r="H183" s="11" t="s">
        <v>908</v>
      </c>
      <c r="I183" s="27"/>
      <c r="J183" s="28"/>
      <c r="K183" s="26" t="s">
        <v>425</v>
      </c>
      <c r="L183" s="26">
        <v>11</v>
      </c>
      <c r="M183" s="28"/>
      <c r="N183" s="28">
        <f>4210.45/G183</f>
        <v>91.7909308916503</v>
      </c>
      <c r="O183" s="28">
        <f t="shared" si="32"/>
        <v>45.8954654458252</v>
      </c>
      <c r="P183" s="26">
        <f>4210.45*11*0.5</f>
        <v>23157.475</v>
      </c>
      <c r="Q183" s="37"/>
      <c r="R183" s="38"/>
      <c r="S183" s="38"/>
      <c r="T183" s="38"/>
      <c r="U183" s="38"/>
      <c r="V183" s="2">
        <f t="shared" si="15"/>
        <v>23157.475</v>
      </c>
      <c r="W183" s="73">
        <f t="shared" si="16"/>
        <v>0</v>
      </c>
    </row>
    <row r="184" ht="150" customHeight="1" spans="1:23">
      <c r="A184" s="11">
        <v>101</v>
      </c>
      <c r="B184" s="11" t="s">
        <v>103</v>
      </c>
      <c r="C184" s="11" t="s">
        <v>909</v>
      </c>
      <c r="D184" s="11" t="s">
        <v>910</v>
      </c>
      <c r="E184" s="17" t="s">
        <v>154</v>
      </c>
      <c r="F184" s="11" t="s">
        <v>911</v>
      </c>
      <c r="G184" s="26">
        <v>30</v>
      </c>
      <c r="H184" s="11" t="s">
        <v>912</v>
      </c>
      <c r="I184" s="26" t="s">
        <v>157</v>
      </c>
      <c r="J184" s="28">
        <v>0</v>
      </c>
      <c r="K184" s="11" t="s">
        <v>912</v>
      </c>
      <c r="L184" s="26">
        <f>4+(31-8+1)/31+1/31</f>
        <v>4.80645161290323</v>
      </c>
      <c r="M184" s="28">
        <f>L184+L185</f>
        <v>10.7741935483871</v>
      </c>
      <c r="N184" s="28">
        <v>150</v>
      </c>
      <c r="O184" s="28">
        <v>60</v>
      </c>
      <c r="P184" s="26">
        <f t="shared" ref="P184:P186" si="34">G184*L184*60</f>
        <v>8651.61290322581</v>
      </c>
      <c r="Q184" s="37">
        <v>25122</v>
      </c>
      <c r="R184" s="38" t="s">
        <v>913</v>
      </c>
      <c r="S184" s="38" t="s">
        <v>914</v>
      </c>
      <c r="T184" s="38" t="s">
        <v>913</v>
      </c>
      <c r="U184" s="38" t="str">
        <f t="shared" si="33"/>
        <v>港澳处、律所、会所三方审核结论一致，符合给予租金补贴25122元条件。</v>
      </c>
      <c r="V184" s="2">
        <f t="shared" si="15"/>
        <v>8651.61290322581</v>
      </c>
      <c r="W184" s="73">
        <f t="shared" si="16"/>
        <v>0</v>
      </c>
    </row>
    <row r="185" ht="150" customHeight="1" spans="1:23">
      <c r="A185" s="11"/>
      <c r="B185" s="11"/>
      <c r="C185" s="11"/>
      <c r="D185" s="11"/>
      <c r="E185" s="18"/>
      <c r="F185" s="11" t="s">
        <v>911</v>
      </c>
      <c r="G185" s="26">
        <v>46</v>
      </c>
      <c r="H185" s="11" t="s">
        <v>915</v>
      </c>
      <c r="I185" s="26"/>
      <c r="J185" s="28">
        <v>0</v>
      </c>
      <c r="K185" s="11" t="s">
        <v>916</v>
      </c>
      <c r="L185" s="26">
        <f>30/31+5</f>
        <v>5.96774193548387</v>
      </c>
      <c r="M185" s="28"/>
      <c r="N185" s="28">
        <v>152.17</v>
      </c>
      <c r="O185" s="28">
        <v>60</v>
      </c>
      <c r="P185" s="26">
        <f t="shared" si="34"/>
        <v>16470.9677419355</v>
      </c>
      <c r="Q185" s="37"/>
      <c r="R185" s="38"/>
      <c r="S185" s="38"/>
      <c r="T185" s="38"/>
      <c r="U185" s="38"/>
      <c r="V185" s="2">
        <f t="shared" si="15"/>
        <v>16470.9677419355</v>
      </c>
      <c r="W185" s="73">
        <f t="shared" si="16"/>
        <v>0</v>
      </c>
    </row>
    <row r="186" ht="300" customHeight="1" spans="1:23">
      <c r="A186" s="11">
        <v>102</v>
      </c>
      <c r="B186" s="11" t="s">
        <v>104</v>
      </c>
      <c r="C186" s="11" t="s">
        <v>917</v>
      </c>
      <c r="D186" s="11" t="s">
        <v>918</v>
      </c>
      <c r="E186" s="13" t="s">
        <v>154</v>
      </c>
      <c r="F186" s="11" t="s">
        <v>919</v>
      </c>
      <c r="G186" s="26">
        <v>10</v>
      </c>
      <c r="H186" s="11" t="s">
        <v>834</v>
      </c>
      <c r="I186" s="26" t="s">
        <v>157</v>
      </c>
      <c r="J186" s="28">
        <v>0</v>
      </c>
      <c r="K186" s="26" t="s">
        <v>835</v>
      </c>
      <c r="L186" s="26">
        <v>8</v>
      </c>
      <c r="M186" s="28">
        <f t="shared" ref="M186:M190" si="35">L186+J186</f>
        <v>8</v>
      </c>
      <c r="N186" s="28">
        <v>130</v>
      </c>
      <c r="O186" s="28">
        <v>60</v>
      </c>
      <c r="P186" s="26">
        <f t="shared" si="34"/>
        <v>4800</v>
      </c>
      <c r="Q186" s="37">
        <v>4800</v>
      </c>
      <c r="R186" s="38" t="s">
        <v>412</v>
      </c>
      <c r="S186" s="38" t="s">
        <v>413</v>
      </c>
      <c r="T186" s="38" t="s">
        <v>412</v>
      </c>
      <c r="U186" s="38" t="str">
        <f t="shared" si="33"/>
        <v>港澳处、律所、会所三方审核结论一致，符合给予租金补贴4800元条件。</v>
      </c>
      <c r="V186" s="2">
        <f t="shared" si="15"/>
        <v>4800</v>
      </c>
      <c r="W186" s="73">
        <f t="shared" si="16"/>
        <v>0</v>
      </c>
    </row>
    <row r="187" ht="300" customHeight="1" spans="1:23">
      <c r="A187" s="11">
        <v>103</v>
      </c>
      <c r="B187" s="11" t="s">
        <v>105</v>
      </c>
      <c r="C187" s="11" t="s">
        <v>920</v>
      </c>
      <c r="D187" s="11" t="s">
        <v>921</v>
      </c>
      <c r="E187" s="13" t="s">
        <v>154</v>
      </c>
      <c r="F187" s="11" t="s">
        <v>922</v>
      </c>
      <c r="G187" s="26">
        <v>76.19</v>
      </c>
      <c r="H187" s="11" t="s">
        <v>923</v>
      </c>
      <c r="I187" s="27" t="s">
        <v>220</v>
      </c>
      <c r="J187" s="28">
        <v>10</v>
      </c>
      <c r="K187" s="26" t="s">
        <v>924</v>
      </c>
      <c r="L187" s="26">
        <v>2</v>
      </c>
      <c r="M187" s="28">
        <f>J187+L187</f>
        <v>12</v>
      </c>
      <c r="N187" s="28">
        <f>6789.56/G187</f>
        <v>89.1135319595748</v>
      </c>
      <c r="O187" s="28">
        <f t="shared" ref="O187:O192" si="36">N187*0.5</f>
        <v>44.5567659797874</v>
      </c>
      <c r="P187" s="26">
        <f>6789.56*2*0.5</f>
        <v>6789.56</v>
      </c>
      <c r="Q187" s="37">
        <v>6789</v>
      </c>
      <c r="R187" s="38" t="s">
        <v>925</v>
      </c>
      <c r="S187" s="38" t="s">
        <v>926</v>
      </c>
      <c r="T187" s="38" t="s">
        <v>925</v>
      </c>
      <c r="U187" s="38" t="str">
        <f t="shared" si="33"/>
        <v>港澳处、律所、会所三方审核结论一致，符合给予租金补贴6789元条件。</v>
      </c>
      <c r="V187" s="2">
        <f t="shared" si="15"/>
        <v>6789.56</v>
      </c>
      <c r="W187" s="73">
        <f t="shared" si="16"/>
        <v>0</v>
      </c>
    </row>
    <row r="188" ht="300" customHeight="1" spans="1:23">
      <c r="A188" s="11">
        <v>104</v>
      </c>
      <c r="B188" s="11" t="s">
        <v>106</v>
      </c>
      <c r="C188" s="11" t="s">
        <v>927</v>
      </c>
      <c r="D188" s="11" t="s">
        <v>928</v>
      </c>
      <c r="E188" s="13" t="s">
        <v>154</v>
      </c>
      <c r="F188" s="11" t="s">
        <v>929</v>
      </c>
      <c r="G188" s="26">
        <v>530</v>
      </c>
      <c r="H188" s="11" t="s">
        <v>306</v>
      </c>
      <c r="I188" s="27" t="s">
        <v>157</v>
      </c>
      <c r="J188" s="28">
        <v>0</v>
      </c>
      <c r="K188" s="26" t="s">
        <v>930</v>
      </c>
      <c r="L188" s="26">
        <f>4+(29-18+1)/29</f>
        <v>4.41379310344828</v>
      </c>
      <c r="M188" s="28">
        <f t="shared" si="35"/>
        <v>4.41379310344828</v>
      </c>
      <c r="N188" s="28">
        <v>160</v>
      </c>
      <c r="O188" s="28">
        <v>60</v>
      </c>
      <c r="P188" s="26">
        <f t="shared" ref="P188:P190" si="37">G188*L188*60</f>
        <v>140358.620689655</v>
      </c>
      <c r="Q188" s="37">
        <v>140358</v>
      </c>
      <c r="R188" s="38" t="s">
        <v>931</v>
      </c>
      <c r="S188" s="38" t="s">
        <v>932</v>
      </c>
      <c r="T188" s="38" t="s">
        <v>931</v>
      </c>
      <c r="U188" s="38" t="str">
        <f t="shared" si="33"/>
        <v>港澳处、律所、会所三方审核结论一致，符合给予租金补贴140358元条件。</v>
      </c>
      <c r="V188" s="2">
        <f t="shared" si="15"/>
        <v>140358.620689655</v>
      </c>
      <c r="W188" s="73">
        <f t="shared" si="16"/>
        <v>0</v>
      </c>
    </row>
    <row r="189" ht="300" customHeight="1" spans="1:23">
      <c r="A189" s="11">
        <v>105</v>
      </c>
      <c r="B189" s="11" t="s">
        <v>107</v>
      </c>
      <c r="C189" s="11" t="s">
        <v>933</v>
      </c>
      <c r="D189" s="11" t="s">
        <v>934</v>
      </c>
      <c r="E189" s="13" t="s">
        <v>154</v>
      </c>
      <c r="F189" s="11" t="s">
        <v>935</v>
      </c>
      <c r="G189" s="26">
        <v>299</v>
      </c>
      <c r="H189" s="11" t="s">
        <v>936</v>
      </c>
      <c r="I189" s="27" t="s">
        <v>157</v>
      </c>
      <c r="J189" s="28">
        <v>0</v>
      </c>
      <c r="K189" s="26" t="s">
        <v>499</v>
      </c>
      <c r="L189" s="26">
        <v>7</v>
      </c>
      <c r="M189" s="28">
        <f t="shared" si="35"/>
        <v>7</v>
      </c>
      <c r="N189" s="28">
        <v>120</v>
      </c>
      <c r="O189" s="28">
        <v>60</v>
      </c>
      <c r="P189" s="26">
        <f t="shared" si="37"/>
        <v>125580</v>
      </c>
      <c r="Q189" s="37">
        <v>125580</v>
      </c>
      <c r="R189" s="38" t="s">
        <v>937</v>
      </c>
      <c r="S189" s="38" t="s">
        <v>938</v>
      </c>
      <c r="T189" s="38" t="s">
        <v>937</v>
      </c>
      <c r="U189" s="38" t="str">
        <f t="shared" si="33"/>
        <v>港澳处、律所、会所三方审核结论一致，符合给予租金补贴125580元条件。</v>
      </c>
      <c r="V189" s="2">
        <f t="shared" si="15"/>
        <v>125580</v>
      </c>
      <c r="W189" s="73">
        <f t="shared" si="16"/>
        <v>0</v>
      </c>
    </row>
    <row r="190" ht="300" customHeight="1" spans="1:23">
      <c r="A190" s="11">
        <v>106</v>
      </c>
      <c r="B190" s="11" t="s">
        <v>108</v>
      </c>
      <c r="C190" s="11" t="s">
        <v>939</v>
      </c>
      <c r="D190" s="11" t="s">
        <v>940</v>
      </c>
      <c r="E190" s="13" t="s">
        <v>154</v>
      </c>
      <c r="F190" s="11" t="s">
        <v>939</v>
      </c>
      <c r="G190" s="26">
        <v>713</v>
      </c>
      <c r="H190" s="11" t="s">
        <v>936</v>
      </c>
      <c r="I190" s="27" t="s">
        <v>157</v>
      </c>
      <c r="J190" s="28">
        <v>0</v>
      </c>
      <c r="K190" s="26" t="s">
        <v>499</v>
      </c>
      <c r="L190" s="26">
        <v>7</v>
      </c>
      <c r="M190" s="28">
        <f t="shared" si="35"/>
        <v>7</v>
      </c>
      <c r="N190" s="28">
        <v>120</v>
      </c>
      <c r="O190" s="28">
        <v>60</v>
      </c>
      <c r="P190" s="26">
        <f t="shared" si="37"/>
        <v>299460</v>
      </c>
      <c r="Q190" s="37">
        <v>299460</v>
      </c>
      <c r="R190" s="38" t="s">
        <v>941</v>
      </c>
      <c r="S190" s="38" t="s">
        <v>942</v>
      </c>
      <c r="T190" s="38" t="s">
        <v>941</v>
      </c>
      <c r="U190" s="38" t="str">
        <f t="shared" si="33"/>
        <v>港澳处、律所、会所三方审核结论一致，符合给予租金补贴299460元条件。</v>
      </c>
      <c r="V190" s="2">
        <f t="shared" si="15"/>
        <v>299460</v>
      </c>
      <c r="W190" s="73">
        <f t="shared" si="16"/>
        <v>0</v>
      </c>
    </row>
    <row r="191" ht="150" customHeight="1" spans="1:23">
      <c r="A191" s="11">
        <v>107</v>
      </c>
      <c r="B191" s="11" t="s">
        <v>109</v>
      </c>
      <c r="C191" s="11" t="s">
        <v>943</v>
      </c>
      <c r="D191" s="11" t="s">
        <v>944</v>
      </c>
      <c r="E191" s="17" t="s">
        <v>154</v>
      </c>
      <c r="F191" s="11" t="s">
        <v>945</v>
      </c>
      <c r="G191" s="26">
        <v>1224.08</v>
      </c>
      <c r="H191" s="11" t="s">
        <v>946</v>
      </c>
      <c r="I191" s="27" t="s">
        <v>220</v>
      </c>
      <c r="J191" s="28">
        <f>(28-21+1)/28+4</f>
        <v>4.28571428571429</v>
      </c>
      <c r="K191" s="26" t="s">
        <v>265</v>
      </c>
      <c r="L191" s="26">
        <v>4</v>
      </c>
      <c r="M191" s="28">
        <f>J191+L191+L192</f>
        <v>9.28571428571428</v>
      </c>
      <c r="N191" s="28">
        <v>107.12</v>
      </c>
      <c r="O191" s="28">
        <f t="shared" si="36"/>
        <v>53.56</v>
      </c>
      <c r="P191" s="26">
        <f>G191*107.12*0.5*L191</f>
        <v>262246.8992</v>
      </c>
      <c r="Q191" s="37">
        <v>300000</v>
      </c>
      <c r="R191" s="38" t="s">
        <v>476</v>
      </c>
      <c r="S191" s="38" t="s">
        <v>477</v>
      </c>
      <c r="T191" s="38" t="s">
        <v>476</v>
      </c>
      <c r="U191" s="38" t="str">
        <f t="shared" si="33"/>
        <v>港澳处、律所、会所三方审核结论一致，符合给予租金补贴300000元条件。</v>
      </c>
      <c r="V191" s="2">
        <f t="shared" si="15"/>
        <v>262246.8992</v>
      </c>
      <c r="W191" s="73">
        <f t="shared" si="16"/>
        <v>0</v>
      </c>
    </row>
    <row r="192" ht="150" customHeight="1" spans="1:23">
      <c r="A192" s="11"/>
      <c r="B192" s="11"/>
      <c r="C192" s="11"/>
      <c r="D192" s="11"/>
      <c r="E192" s="18"/>
      <c r="F192" s="11"/>
      <c r="G192" s="26">
        <v>1017</v>
      </c>
      <c r="H192" s="11" t="s">
        <v>947</v>
      </c>
      <c r="I192" s="27"/>
      <c r="J192" s="28"/>
      <c r="K192" s="11" t="s">
        <v>947</v>
      </c>
      <c r="L192" s="26">
        <v>1</v>
      </c>
      <c r="M192" s="28"/>
      <c r="N192" s="28">
        <v>107.12</v>
      </c>
      <c r="O192" s="28">
        <f t="shared" si="36"/>
        <v>53.56</v>
      </c>
      <c r="P192" s="26">
        <f>G192*L192*107.12*0.5</f>
        <v>54470.52</v>
      </c>
      <c r="Q192" s="37"/>
      <c r="R192" s="38"/>
      <c r="S192" s="38"/>
      <c r="T192" s="38"/>
      <c r="U192" s="38"/>
      <c r="V192" s="2">
        <f t="shared" si="15"/>
        <v>54470.52</v>
      </c>
      <c r="W192" s="73">
        <f t="shared" si="16"/>
        <v>0</v>
      </c>
    </row>
    <row r="193" ht="150" customHeight="1" spans="1:23">
      <c r="A193" s="11">
        <v>108</v>
      </c>
      <c r="B193" s="11" t="s">
        <v>110</v>
      </c>
      <c r="C193" s="11" t="s">
        <v>948</v>
      </c>
      <c r="D193" s="11" t="s">
        <v>949</v>
      </c>
      <c r="E193" s="17" t="s">
        <v>154</v>
      </c>
      <c r="F193" s="11" t="s">
        <v>950</v>
      </c>
      <c r="G193" s="26">
        <v>146.62</v>
      </c>
      <c r="H193" s="11" t="s">
        <v>951</v>
      </c>
      <c r="I193" s="27" t="s">
        <v>157</v>
      </c>
      <c r="J193" s="28">
        <v>0</v>
      </c>
      <c r="K193" s="26" t="s">
        <v>320</v>
      </c>
      <c r="L193" s="26">
        <v>4</v>
      </c>
      <c r="M193" s="28">
        <f>L194</f>
        <v>5</v>
      </c>
      <c r="N193" s="28">
        <v>80</v>
      </c>
      <c r="O193" s="28">
        <v>40</v>
      </c>
      <c r="P193" s="26">
        <f>G193*L193*O193</f>
        <v>23459.2</v>
      </c>
      <c r="Q193" s="37">
        <v>134943</v>
      </c>
      <c r="R193" s="38" t="s">
        <v>952</v>
      </c>
      <c r="S193" s="38" t="s">
        <v>953</v>
      </c>
      <c r="T193" s="38" t="s">
        <v>952</v>
      </c>
      <c r="U193" s="38" t="str">
        <f t="shared" ref="U193:U196" si="38">"港澳处、律所、会所三方审核结论一致，符合给予租金补贴"&amp;Q193&amp;"元条件。"</f>
        <v>港澳处、律所、会所三方审核结论一致，符合给予租金补贴134943元条件。</v>
      </c>
      <c r="V193" s="2">
        <f t="shared" si="15"/>
        <v>23459.2</v>
      </c>
      <c r="W193" s="73">
        <f t="shared" si="16"/>
        <v>0</v>
      </c>
    </row>
    <row r="194" ht="150" customHeight="1" spans="1:23">
      <c r="A194" s="11"/>
      <c r="B194" s="11"/>
      <c r="C194" s="11"/>
      <c r="D194" s="11"/>
      <c r="E194" s="18"/>
      <c r="F194" s="11" t="s">
        <v>954</v>
      </c>
      <c r="G194" s="26">
        <v>557.42</v>
      </c>
      <c r="H194" s="11" t="s">
        <v>466</v>
      </c>
      <c r="I194" s="27"/>
      <c r="J194" s="28"/>
      <c r="K194" s="26" t="s">
        <v>314</v>
      </c>
      <c r="L194" s="26">
        <v>5</v>
      </c>
      <c r="M194" s="28"/>
      <c r="N194" s="28">
        <v>80</v>
      </c>
      <c r="O194" s="28">
        <f t="shared" ref="O194:O201" si="39">N194*0.5</f>
        <v>40</v>
      </c>
      <c r="P194" s="26">
        <f>G194*L194*O194</f>
        <v>111484</v>
      </c>
      <c r="Q194" s="37"/>
      <c r="R194" s="38"/>
      <c r="S194" s="38"/>
      <c r="T194" s="38"/>
      <c r="U194" s="38"/>
      <c r="V194" s="2">
        <f t="shared" si="15"/>
        <v>111484</v>
      </c>
      <c r="W194" s="73">
        <f t="shared" si="16"/>
        <v>0</v>
      </c>
    </row>
    <row r="195" ht="300" customHeight="1" spans="1:23">
      <c r="A195" s="11">
        <v>109</v>
      </c>
      <c r="B195" s="11" t="s">
        <v>111</v>
      </c>
      <c r="C195" s="11" t="s">
        <v>955</v>
      </c>
      <c r="D195" s="11" t="s">
        <v>956</v>
      </c>
      <c r="E195" s="13" t="s">
        <v>154</v>
      </c>
      <c r="F195" s="11" t="s">
        <v>957</v>
      </c>
      <c r="G195" s="26">
        <v>7</v>
      </c>
      <c r="H195" s="11" t="s">
        <v>958</v>
      </c>
      <c r="I195" s="27" t="s">
        <v>157</v>
      </c>
      <c r="J195" s="28">
        <v>0</v>
      </c>
      <c r="K195" s="26" t="s">
        <v>959</v>
      </c>
      <c r="L195" s="26">
        <f>1+(31-27+1)/31</f>
        <v>1.16129032258065</v>
      </c>
      <c r="M195" s="28">
        <f>L195+J195</f>
        <v>1.16129032258065</v>
      </c>
      <c r="N195" s="28">
        <v>147.46</v>
      </c>
      <c r="O195" s="28">
        <v>60</v>
      </c>
      <c r="P195" s="26">
        <f t="shared" ref="P195:P197" si="40">G195*L195*60</f>
        <v>487.741935483871</v>
      </c>
      <c r="Q195" s="37">
        <v>487</v>
      </c>
      <c r="R195" s="38" t="s">
        <v>960</v>
      </c>
      <c r="S195" s="38" t="s">
        <v>961</v>
      </c>
      <c r="T195" s="38" t="s">
        <v>960</v>
      </c>
      <c r="U195" s="38" t="str">
        <f t="shared" si="38"/>
        <v>港澳处、律所、会所三方审核结论一致，符合给予租金补贴487元条件。</v>
      </c>
      <c r="V195" s="2">
        <f t="shared" ref="V195:V224" si="41">L195*O195*G195</f>
        <v>487.741935483871</v>
      </c>
      <c r="W195" s="73">
        <f t="shared" ref="W195:W226" si="42">V195-P195</f>
        <v>0</v>
      </c>
    </row>
    <row r="196" ht="150" customHeight="1" spans="1:23">
      <c r="A196" s="11">
        <v>110</v>
      </c>
      <c r="B196" s="11" t="s">
        <v>112</v>
      </c>
      <c r="C196" s="11" t="s">
        <v>962</v>
      </c>
      <c r="D196" s="11" t="s">
        <v>963</v>
      </c>
      <c r="E196" s="17" t="s">
        <v>154</v>
      </c>
      <c r="F196" s="11" t="s">
        <v>964</v>
      </c>
      <c r="G196" s="26">
        <v>1000</v>
      </c>
      <c r="H196" s="11" t="s">
        <v>481</v>
      </c>
      <c r="I196" s="27" t="s">
        <v>157</v>
      </c>
      <c r="J196" s="28">
        <v>0</v>
      </c>
      <c r="K196" s="66" t="s">
        <v>965</v>
      </c>
      <c r="L196" s="66">
        <f>(29-22+1)/29+4</f>
        <v>4.27586206896552</v>
      </c>
      <c r="M196" s="28">
        <f>L196+J196</f>
        <v>4.27586206896552</v>
      </c>
      <c r="N196" s="28">
        <v>147.47</v>
      </c>
      <c r="O196" s="28">
        <v>60</v>
      </c>
      <c r="P196" s="70">
        <f t="shared" si="40"/>
        <v>256551.724137931</v>
      </c>
      <c r="Q196" s="62">
        <f>ROUNDDOWN(P196+P197,0)</f>
        <v>274303</v>
      </c>
      <c r="R196" s="38" t="s">
        <v>966</v>
      </c>
      <c r="S196" s="38" t="s">
        <v>967</v>
      </c>
      <c r="T196" s="38" t="s">
        <v>966</v>
      </c>
      <c r="U196" s="38" t="str">
        <f t="shared" si="38"/>
        <v>港澳处、律所、会所三方审核结论一致，符合给予租金补贴274303元条件。</v>
      </c>
      <c r="V196" s="2">
        <f t="shared" si="41"/>
        <v>256551.724137931</v>
      </c>
      <c r="W196" s="73">
        <f t="shared" si="42"/>
        <v>0</v>
      </c>
    </row>
    <row r="197" ht="150" customHeight="1" spans="1:23">
      <c r="A197" s="11"/>
      <c r="B197" s="11"/>
      <c r="C197" s="11"/>
      <c r="D197" s="11"/>
      <c r="E197" s="18"/>
      <c r="F197" s="11" t="s">
        <v>968</v>
      </c>
      <c r="G197" s="26">
        <v>806.89</v>
      </c>
      <c r="H197" s="11" t="s">
        <v>969</v>
      </c>
      <c r="I197" s="27"/>
      <c r="J197" s="28"/>
      <c r="K197" s="26" t="s">
        <v>970</v>
      </c>
      <c r="L197" s="26">
        <f>(30-20+1)/30</f>
        <v>0.366666666666667</v>
      </c>
      <c r="M197" s="28"/>
      <c r="N197" s="28">
        <v>139</v>
      </c>
      <c r="O197" s="28">
        <v>60</v>
      </c>
      <c r="P197" s="70">
        <f t="shared" si="40"/>
        <v>17751.58</v>
      </c>
      <c r="Q197" s="62"/>
      <c r="R197" s="38"/>
      <c r="S197" s="38"/>
      <c r="T197" s="38"/>
      <c r="U197" s="38"/>
      <c r="V197" s="2">
        <f t="shared" si="41"/>
        <v>17751.58</v>
      </c>
      <c r="W197" s="73">
        <f t="shared" si="42"/>
        <v>0</v>
      </c>
    </row>
    <row r="198" ht="150" customHeight="1" spans="1:23">
      <c r="A198" s="11">
        <v>111</v>
      </c>
      <c r="B198" s="11" t="s">
        <v>113</v>
      </c>
      <c r="C198" s="11" t="s">
        <v>971</v>
      </c>
      <c r="D198" s="11" t="s">
        <v>972</v>
      </c>
      <c r="E198" s="17" t="s">
        <v>154</v>
      </c>
      <c r="F198" s="11" t="s">
        <v>973</v>
      </c>
      <c r="G198" s="26">
        <v>26</v>
      </c>
      <c r="H198" s="11" t="s">
        <v>616</v>
      </c>
      <c r="I198" s="26" t="s">
        <v>157</v>
      </c>
      <c r="J198" s="28">
        <v>0</v>
      </c>
      <c r="K198" s="26" t="s">
        <v>542</v>
      </c>
      <c r="L198" s="26">
        <v>1</v>
      </c>
      <c r="M198" s="28">
        <f>L199+L200+L198</f>
        <v>6</v>
      </c>
      <c r="N198" s="28">
        <f>2786.16/G198/L198</f>
        <v>107.16</v>
      </c>
      <c r="O198" s="28">
        <f t="shared" si="39"/>
        <v>53.58</v>
      </c>
      <c r="P198" s="26">
        <f>2786.16*0.5</f>
        <v>1393.08</v>
      </c>
      <c r="Q198" s="37">
        <v>36405</v>
      </c>
      <c r="R198" s="38" t="s">
        <v>974</v>
      </c>
      <c r="S198" s="38" t="s">
        <v>975</v>
      </c>
      <c r="T198" s="38" t="s">
        <v>974</v>
      </c>
      <c r="U198" s="38" t="str">
        <f t="shared" ref="U198:U204" si="43">"港澳处、律所、会所三方审核结论一致，符合给予租金补贴"&amp;Q198&amp;"元条件。"</f>
        <v>港澳处、律所、会所三方审核结论一致，符合给予租金补贴36405元条件。</v>
      </c>
      <c r="V198" s="2">
        <f t="shared" si="41"/>
        <v>1393.08</v>
      </c>
      <c r="W198" s="73">
        <f t="shared" si="42"/>
        <v>0</v>
      </c>
    </row>
    <row r="199" ht="150" customHeight="1" spans="1:23">
      <c r="A199" s="11"/>
      <c r="B199" s="11"/>
      <c r="C199" s="11"/>
      <c r="D199" s="11"/>
      <c r="E199" s="20"/>
      <c r="F199" s="11" t="s">
        <v>976</v>
      </c>
      <c r="G199" s="26">
        <v>29</v>
      </c>
      <c r="H199" s="11" t="s">
        <v>977</v>
      </c>
      <c r="I199" s="26"/>
      <c r="J199" s="28"/>
      <c r="K199" s="11" t="s">
        <v>977</v>
      </c>
      <c r="L199" s="26">
        <v>2</v>
      </c>
      <c r="M199" s="28"/>
      <c r="N199" s="28">
        <f>3107.64/G199</f>
        <v>107.16</v>
      </c>
      <c r="O199" s="28">
        <f t="shared" si="39"/>
        <v>53.58</v>
      </c>
      <c r="P199" s="26">
        <f>3107.64*2*0.5</f>
        <v>3107.64</v>
      </c>
      <c r="Q199" s="37"/>
      <c r="R199" s="38"/>
      <c r="S199" s="38"/>
      <c r="T199" s="38"/>
      <c r="U199" s="38"/>
      <c r="V199" s="2">
        <f t="shared" si="41"/>
        <v>3107.64</v>
      </c>
      <c r="W199" s="73">
        <f t="shared" si="42"/>
        <v>0</v>
      </c>
    </row>
    <row r="200" ht="150" customHeight="1" spans="1:23">
      <c r="A200" s="11"/>
      <c r="B200" s="11"/>
      <c r="C200" s="11"/>
      <c r="D200" s="11"/>
      <c r="E200" s="20"/>
      <c r="F200" s="11" t="s">
        <v>978</v>
      </c>
      <c r="G200" s="26">
        <v>55</v>
      </c>
      <c r="H200" s="11" t="s">
        <v>979</v>
      </c>
      <c r="I200" s="26"/>
      <c r="J200" s="28"/>
      <c r="K200" s="11" t="s">
        <v>979</v>
      </c>
      <c r="L200" s="26">
        <v>3</v>
      </c>
      <c r="M200" s="28"/>
      <c r="N200" s="28">
        <f>(3107.64+2786.16)/G200</f>
        <v>107.16</v>
      </c>
      <c r="O200" s="28">
        <f t="shared" si="39"/>
        <v>53.58</v>
      </c>
      <c r="P200" s="26">
        <f>3107.64*3*0.5+2786.16*3*0.5</f>
        <v>8840.7</v>
      </c>
      <c r="Q200" s="37"/>
      <c r="R200" s="38"/>
      <c r="S200" s="38"/>
      <c r="T200" s="38"/>
      <c r="U200" s="38"/>
      <c r="V200" s="2">
        <f t="shared" si="41"/>
        <v>8840.7</v>
      </c>
      <c r="W200" s="73">
        <f t="shared" si="42"/>
        <v>0</v>
      </c>
    </row>
    <row r="201" ht="150" customHeight="1" spans="1:23">
      <c r="A201" s="11"/>
      <c r="B201" s="11"/>
      <c r="C201" s="11"/>
      <c r="D201" s="11"/>
      <c r="E201" s="18"/>
      <c r="F201" s="11" t="s">
        <v>980</v>
      </c>
      <c r="G201" s="26">
        <v>115.3</v>
      </c>
      <c r="H201" s="11" t="s">
        <v>981</v>
      </c>
      <c r="I201" s="26"/>
      <c r="J201" s="28"/>
      <c r="K201" s="11" t="s">
        <v>982</v>
      </c>
      <c r="L201" s="26">
        <f>(31-7+1)/31+3</f>
        <v>3.80645161290323</v>
      </c>
      <c r="M201" s="28"/>
      <c r="N201" s="28">
        <f>(12355.55+9060.74+12355.55+12355.55)/G201/L201</f>
        <v>105.10158392991</v>
      </c>
      <c r="O201" s="28">
        <f t="shared" si="39"/>
        <v>52.5507919649551</v>
      </c>
      <c r="P201" s="26">
        <f>(12355.55+9060.74+12355.55+12355.55)*0.5</f>
        <v>23063.695</v>
      </c>
      <c r="Q201" s="37"/>
      <c r="R201" s="38"/>
      <c r="S201" s="38"/>
      <c r="T201" s="38"/>
      <c r="U201" s="38"/>
      <c r="V201" s="2">
        <f t="shared" si="41"/>
        <v>23063.695</v>
      </c>
      <c r="W201" s="73">
        <f t="shared" si="42"/>
        <v>0</v>
      </c>
    </row>
    <row r="202" s="3" customFormat="1" ht="300" customHeight="1" spans="1:23">
      <c r="A202" s="11">
        <v>112</v>
      </c>
      <c r="B202" s="11" t="s">
        <v>114</v>
      </c>
      <c r="C202" s="11" t="s">
        <v>983</v>
      </c>
      <c r="D202" s="11" t="s">
        <v>984</v>
      </c>
      <c r="E202" s="11" t="s">
        <v>154</v>
      </c>
      <c r="F202" s="11" t="s">
        <v>985</v>
      </c>
      <c r="G202" s="26">
        <v>268</v>
      </c>
      <c r="H202" s="11" t="s">
        <v>466</v>
      </c>
      <c r="I202" s="11" t="s">
        <v>157</v>
      </c>
      <c r="J202" s="28">
        <v>0</v>
      </c>
      <c r="K202" s="67" t="s">
        <v>986</v>
      </c>
      <c r="L202" s="66">
        <f>(30-8+1)/30+2</f>
        <v>2.76666666666667</v>
      </c>
      <c r="M202" s="28">
        <f>L202+J202</f>
        <v>2.76666666666667</v>
      </c>
      <c r="N202" s="28">
        <f>34000/268</f>
        <v>126.865671641791</v>
      </c>
      <c r="O202" s="28">
        <v>60</v>
      </c>
      <c r="P202" s="26">
        <f t="shared" ref="P202:P205" si="44">G202*L202*60</f>
        <v>44488</v>
      </c>
      <c r="Q202" s="62">
        <f>P202</f>
        <v>44488</v>
      </c>
      <c r="R202" s="38" t="s">
        <v>987</v>
      </c>
      <c r="S202" s="38" t="s">
        <v>988</v>
      </c>
      <c r="T202" s="38" t="s">
        <v>987</v>
      </c>
      <c r="U202" s="38" t="str">
        <f t="shared" si="43"/>
        <v>港澳处、律所、会所三方审核结论一致，符合给予租金补贴44488元条件。</v>
      </c>
      <c r="V202" s="2">
        <f t="shared" si="41"/>
        <v>44488</v>
      </c>
      <c r="W202" s="73">
        <f t="shared" si="42"/>
        <v>0</v>
      </c>
    </row>
    <row r="203" ht="300" customHeight="1" spans="1:23">
      <c r="A203" s="11">
        <v>113</v>
      </c>
      <c r="B203" s="11" t="s">
        <v>115</v>
      </c>
      <c r="C203" s="11" t="s">
        <v>245</v>
      </c>
      <c r="D203" s="11" t="s">
        <v>989</v>
      </c>
      <c r="E203" s="13" t="s">
        <v>154</v>
      </c>
      <c r="F203" s="11" t="s">
        <v>990</v>
      </c>
      <c r="G203" s="26">
        <v>8.5</v>
      </c>
      <c r="H203" s="11" t="s">
        <v>991</v>
      </c>
      <c r="I203" s="11" t="s">
        <v>157</v>
      </c>
      <c r="J203" s="28">
        <v>0</v>
      </c>
      <c r="K203" s="11" t="s">
        <v>992</v>
      </c>
      <c r="L203" s="26">
        <f>(31-17+1)/31+13</f>
        <v>13.4838709677419</v>
      </c>
      <c r="M203" s="28">
        <f>L203+J203</f>
        <v>13.4838709677419</v>
      </c>
      <c r="N203" s="28">
        <f>1000/8.5</f>
        <v>117.647058823529</v>
      </c>
      <c r="O203" s="28">
        <f t="shared" ref="O203:O207" si="45">N203*0.5</f>
        <v>58.8235294117647</v>
      </c>
      <c r="P203" s="26">
        <f>G203*L203*(1000/8.5)/2</f>
        <v>6741.93548387097</v>
      </c>
      <c r="Q203" s="37">
        <v>6741</v>
      </c>
      <c r="R203" s="38" t="s">
        <v>993</v>
      </c>
      <c r="S203" s="38" t="s">
        <v>994</v>
      </c>
      <c r="T203" s="38" t="s">
        <v>993</v>
      </c>
      <c r="U203" s="38" t="str">
        <f t="shared" si="43"/>
        <v>港澳处、律所、会所三方审核结论一致，符合给予租金补贴6741元条件。</v>
      </c>
      <c r="V203" s="2">
        <f t="shared" si="41"/>
        <v>6741.93548387097</v>
      </c>
      <c r="W203" s="73">
        <f t="shared" si="42"/>
        <v>0</v>
      </c>
    </row>
    <row r="204" ht="150" customHeight="1" spans="1:23">
      <c r="A204" s="11">
        <v>114</v>
      </c>
      <c r="B204" s="11" t="s">
        <v>116</v>
      </c>
      <c r="C204" s="11" t="s">
        <v>995</v>
      </c>
      <c r="D204" s="11" t="s">
        <v>996</v>
      </c>
      <c r="E204" s="17" t="s">
        <v>154</v>
      </c>
      <c r="F204" s="11" t="s">
        <v>997</v>
      </c>
      <c r="G204" s="26">
        <v>150</v>
      </c>
      <c r="H204" s="11" t="s">
        <v>998</v>
      </c>
      <c r="I204" s="11" t="s">
        <v>157</v>
      </c>
      <c r="J204" s="28">
        <v>0</v>
      </c>
      <c r="K204" s="11" t="s">
        <v>998</v>
      </c>
      <c r="L204" s="26">
        <f>(31-28+1)/31+3+27/30</f>
        <v>4.02903225806452</v>
      </c>
      <c r="M204" s="28">
        <f>L204+L205+J204</f>
        <v>6.02903225806452</v>
      </c>
      <c r="N204" s="28">
        <f>22000/150</f>
        <v>146.666666666667</v>
      </c>
      <c r="O204" s="28">
        <v>60</v>
      </c>
      <c r="P204" s="26">
        <f t="shared" si="44"/>
        <v>36261.2903225806</v>
      </c>
      <c r="Q204" s="37">
        <v>56061</v>
      </c>
      <c r="R204" s="38" t="s">
        <v>999</v>
      </c>
      <c r="S204" s="38" t="s">
        <v>1000</v>
      </c>
      <c r="T204" s="38" t="s">
        <v>999</v>
      </c>
      <c r="U204" s="38" t="str">
        <f t="shared" si="43"/>
        <v>港澳处、律所、会所三方审核结论一致，符合给予租金补贴56061元条件。</v>
      </c>
      <c r="V204" s="2">
        <f t="shared" si="41"/>
        <v>36261.2903225806</v>
      </c>
      <c r="W204" s="73">
        <f t="shared" si="42"/>
        <v>0</v>
      </c>
    </row>
    <row r="205" ht="150" customHeight="1" spans="1:23">
      <c r="A205" s="11"/>
      <c r="B205" s="11"/>
      <c r="C205" s="11"/>
      <c r="D205" s="11"/>
      <c r="E205" s="18"/>
      <c r="F205" s="11" t="s">
        <v>1001</v>
      </c>
      <c r="G205" s="26">
        <v>165</v>
      </c>
      <c r="H205" s="11" t="s">
        <v>1002</v>
      </c>
      <c r="I205" s="11"/>
      <c r="J205" s="28"/>
      <c r="K205" s="26" t="s">
        <v>1003</v>
      </c>
      <c r="L205" s="26">
        <f>(30-28+1)/30+1+27/30</f>
        <v>2</v>
      </c>
      <c r="M205" s="28"/>
      <c r="N205" s="28">
        <v>147.46</v>
      </c>
      <c r="O205" s="28">
        <v>60</v>
      </c>
      <c r="P205" s="26">
        <f t="shared" si="44"/>
        <v>19800</v>
      </c>
      <c r="Q205" s="37"/>
      <c r="R205" s="38"/>
      <c r="S205" s="38"/>
      <c r="T205" s="38"/>
      <c r="U205" s="38"/>
      <c r="V205" s="2">
        <f t="shared" si="41"/>
        <v>19800</v>
      </c>
      <c r="W205" s="73">
        <f t="shared" si="42"/>
        <v>0</v>
      </c>
    </row>
    <row r="206" ht="150" customHeight="1" spans="1:23">
      <c r="A206" s="11">
        <v>115</v>
      </c>
      <c r="B206" s="11" t="s">
        <v>117</v>
      </c>
      <c r="C206" s="11" t="s">
        <v>644</v>
      </c>
      <c r="D206" s="11" t="s">
        <v>1004</v>
      </c>
      <c r="E206" s="17" t="s">
        <v>154</v>
      </c>
      <c r="F206" s="11" t="s">
        <v>1005</v>
      </c>
      <c r="G206" s="26">
        <v>10</v>
      </c>
      <c r="H206" s="11" t="s">
        <v>1006</v>
      </c>
      <c r="I206" s="11" t="s">
        <v>157</v>
      </c>
      <c r="J206" s="28">
        <v>0</v>
      </c>
      <c r="K206" s="11" t="s">
        <v>1006</v>
      </c>
      <c r="L206" s="26">
        <v>12</v>
      </c>
      <c r="M206" s="28">
        <f>+L206+L207</f>
        <v>19.2</v>
      </c>
      <c r="N206" s="28">
        <f>1090/10</f>
        <v>109</v>
      </c>
      <c r="O206" s="28">
        <f t="shared" si="45"/>
        <v>54.5</v>
      </c>
      <c r="P206" s="26">
        <f>L206*1090/2</f>
        <v>6540</v>
      </c>
      <c r="Q206" s="37">
        <v>10464</v>
      </c>
      <c r="R206" s="38" t="s">
        <v>1007</v>
      </c>
      <c r="S206" s="38" t="s">
        <v>1008</v>
      </c>
      <c r="T206" s="38" t="s">
        <v>1007</v>
      </c>
      <c r="U206" s="38" t="str">
        <f t="shared" ref="U206:U209" si="46">"港澳处、律所、会所三方审核结论一致，符合给予租金补贴"&amp;Q206&amp;"元条件。"</f>
        <v>港澳处、律所、会所三方审核结论一致，符合给予租金补贴10464元条件。</v>
      </c>
      <c r="V206" s="2">
        <f t="shared" si="41"/>
        <v>6540</v>
      </c>
      <c r="W206" s="73">
        <f t="shared" si="42"/>
        <v>0</v>
      </c>
    </row>
    <row r="207" ht="150" customHeight="1" spans="1:23">
      <c r="A207" s="11"/>
      <c r="B207" s="11"/>
      <c r="C207" s="11"/>
      <c r="D207" s="11"/>
      <c r="E207" s="18"/>
      <c r="F207" s="11" t="s">
        <v>1009</v>
      </c>
      <c r="G207" s="26">
        <v>10</v>
      </c>
      <c r="H207" s="11" t="s">
        <v>1010</v>
      </c>
      <c r="I207" s="11"/>
      <c r="J207" s="28"/>
      <c r="K207" s="11" t="s">
        <v>233</v>
      </c>
      <c r="L207" s="26">
        <f>(30-25+1)/30+7</f>
        <v>7.2</v>
      </c>
      <c r="M207" s="28"/>
      <c r="N207" s="28">
        <f>1090/10</f>
        <v>109</v>
      </c>
      <c r="O207" s="28">
        <f t="shared" si="45"/>
        <v>54.5</v>
      </c>
      <c r="P207" s="26">
        <f>L207*1090/2</f>
        <v>3924</v>
      </c>
      <c r="Q207" s="37"/>
      <c r="R207" s="38"/>
      <c r="S207" s="38"/>
      <c r="T207" s="38"/>
      <c r="U207" s="38"/>
      <c r="V207" s="2">
        <f t="shared" si="41"/>
        <v>3924</v>
      </c>
      <c r="W207" s="73">
        <f t="shared" si="42"/>
        <v>0</v>
      </c>
    </row>
    <row r="208" ht="300" customHeight="1" spans="1:23">
      <c r="A208" s="11">
        <v>116</v>
      </c>
      <c r="B208" s="11" t="s">
        <v>118</v>
      </c>
      <c r="C208" s="11" t="s">
        <v>1011</v>
      </c>
      <c r="D208" s="11" t="s">
        <v>1012</v>
      </c>
      <c r="E208" s="13" t="s">
        <v>154</v>
      </c>
      <c r="F208" s="11" t="s">
        <v>1013</v>
      </c>
      <c r="G208" s="26">
        <v>10</v>
      </c>
      <c r="H208" s="11" t="s">
        <v>1014</v>
      </c>
      <c r="I208" s="11" t="s">
        <v>157</v>
      </c>
      <c r="J208" s="28">
        <v>0</v>
      </c>
      <c r="K208" s="11" t="s">
        <v>1015</v>
      </c>
      <c r="L208" s="26">
        <f>(30-8+1)/30+12</f>
        <v>12.7666666666667</v>
      </c>
      <c r="M208" s="28">
        <f t="shared" ref="M208:M216" si="47">L208+J208</f>
        <v>12.7666666666667</v>
      </c>
      <c r="N208" s="28">
        <v>150</v>
      </c>
      <c r="O208" s="28">
        <v>60</v>
      </c>
      <c r="P208" s="26">
        <f t="shared" ref="P208:P219" si="48">G208*L208*60</f>
        <v>7660</v>
      </c>
      <c r="Q208" s="37">
        <v>7660</v>
      </c>
      <c r="R208" s="38" t="s">
        <v>1016</v>
      </c>
      <c r="S208" s="38" t="s">
        <v>1017</v>
      </c>
      <c r="T208" s="38" t="s">
        <v>1016</v>
      </c>
      <c r="U208" s="38" t="str">
        <f t="shared" si="46"/>
        <v>港澳处、律所、会所三方审核结论一致，符合给予租金补贴7660元条件。</v>
      </c>
      <c r="V208" s="2">
        <f t="shared" si="41"/>
        <v>7660</v>
      </c>
      <c r="W208" s="73">
        <f t="shared" si="42"/>
        <v>0</v>
      </c>
    </row>
    <row r="209" ht="150" customHeight="1" spans="1:23">
      <c r="A209" s="11">
        <v>117</v>
      </c>
      <c r="B209" s="11" t="s">
        <v>119</v>
      </c>
      <c r="C209" s="11" t="s">
        <v>1018</v>
      </c>
      <c r="D209" s="11" t="s">
        <v>1019</v>
      </c>
      <c r="E209" s="17" t="s">
        <v>154</v>
      </c>
      <c r="F209" s="11" t="s">
        <v>1020</v>
      </c>
      <c r="G209" s="26">
        <v>42.38</v>
      </c>
      <c r="H209" s="11" t="s">
        <v>1021</v>
      </c>
      <c r="I209" s="11" t="s">
        <v>157</v>
      </c>
      <c r="J209" s="28">
        <v>0</v>
      </c>
      <c r="K209" s="26" t="s">
        <v>1022</v>
      </c>
      <c r="L209" s="26">
        <f>6+27/31</f>
        <v>6.87096774193548</v>
      </c>
      <c r="M209" s="28">
        <f>L209+L210+J209</f>
        <v>12.5483870967742</v>
      </c>
      <c r="N209" s="28">
        <v>143.17</v>
      </c>
      <c r="O209" s="28">
        <v>60</v>
      </c>
      <c r="P209" s="26">
        <f t="shared" si="48"/>
        <v>17471.4967741935</v>
      </c>
      <c r="Q209" s="37">
        <v>29121</v>
      </c>
      <c r="R209" s="38" t="s">
        <v>1023</v>
      </c>
      <c r="S209" s="38" t="s">
        <v>1024</v>
      </c>
      <c r="T209" s="38" t="s">
        <v>1023</v>
      </c>
      <c r="U209" s="38" t="str">
        <f t="shared" si="46"/>
        <v>港澳处、律所、会所三方审核结论一致，符合给予租金补贴29121元条件。</v>
      </c>
      <c r="V209" s="2">
        <f t="shared" si="41"/>
        <v>17471.4967741936</v>
      </c>
      <c r="W209" s="73">
        <f t="shared" si="42"/>
        <v>0</v>
      </c>
    </row>
    <row r="210" ht="150" customHeight="1" spans="1:23">
      <c r="A210" s="11"/>
      <c r="B210" s="11"/>
      <c r="C210" s="11"/>
      <c r="D210" s="11"/>
      <c r="E210" s="18"/>
      <c r="F210" s="11" t="s">
        <v>1025</v>
      </c>
      <c r="G210" s="26">
        <v>34.2</v>
      </c>
      <c r="H210" s="11" t="s">
        <v>1026</v>
      </c>
      <c r="I210" s="11"/>
      <c r="J210" s="28"/>
      <c r="K210" s="11" t="s">
        <v>1027</v>
      </c>
      <c r="L210" s="26">
        <f>(31-11+1)/31+5</f>
        <v>5.67741935483871</v>
      </c>
      <c r="M210" s="28"/>
      <c r="N210" s="28">
        <v>147.46</v>
      </c>
      <c r="O210" s="28">
        <v>60</v>
      </c>
      <c r="P210" s="26">
        <f t="shared" si="48"/>
        <v>11650.064516129</v>
      </c>
      <c r="Q210" s="37"/>
      <c r="R210" s="38"/>
      <c r="S210" s="38"/>
      <c r="T210" s="38"/>
      <c r="U210" s="38"/>
      <c r="V210" s="2">
        <f t="shared" si="41"/>
        <v>11650.064516129</v>
      </c>
      <c r="W210" s="73">
        <f t="shared" si="42"/>
        <v>0</v>
      </c>
    </row>
    <row r="211" ht="300" customHeight="1" spans="1:23">
      <c r="A211" s="11">
        <v>118</v>
      </c>
      <c r="B211" s="11" t="s">
        <v>120</v>
      </c>
      <c r="C211" s="11" t="s">
        <v>1028</v>
      </c>
      <c r="D211" s="11" t="s">
        <v>1029</v>
      </c>
      <c r="E211" s="13" t="s">
        <v>154</v>
      </c>
      <c r="F211" s="11" t="s">
        <v>1030</v>
      </c>
      <c r="G211" s="26">
        <v>10</v>
      </c>
      <c r="H211" s="11" t="s">
        <v>782</v>
      </c>
      <c r="I211" s="11" t="s">
        <v>157</v>
      </c>
      <c r="J211" s="28">
        <v>0</v>
      </c>
      <c r="K211" s="26" t="s">
        <v>320</v>
      </c>
      <c r="L211" s="26">
        <v>4</v>
      </c>
      <c r="M211" s="28">
        <f t="shared" si="47"/>
        <v>4</v>
      </c>
      <c r="N211" s="28">
        <v>130</v>
      </c>
      <c r="O211" s="28">
        <v>60</v>
      </c>
      <c r="P211" s="26">
        <f t="shared" si="48"/>
        <v>2400</v>
      </c>
      <c r="Q211" s="37">
        <v>2400</v>
      </c>
      <c r="R211" s="38" t="s">
        <v>1031</v>
      </c>
      <c r="S211" s="38" t="s">
        <v>1032</v>
      </c>
      <c r="T211" s="38" t="s">
        <v>1031</v>
      </c>
      <c r="U211" s="38" t="str">
        <f t="shared" ref="U211:U217" si="49">"港澳处、律所、会所三方审核结论一致，符合给予租金补贴"&amp;Q211&amp;"元条件。"</f>
        <v>港澳处、律所、会所三方审核结论一致，符合给予租金补贴2400元条件。</v>
      </c>
      <c r="V211" s="2">
        <f t="shared" si="41"/>
        <v>2400</v>
      </c>
      <c r="W211" s="73">
        <f t="shared" si="42"/>
        <v>0</v>
      </c>
    </row>
    <row r="212" ht="300" customHeight="1" spans="1:23">
      <c r="A212" s="11">
        <v>119</v>
      </c>
      <c r="B212" s="11" t="s">
        <v>121</v>
      </c>
      <c r="C212" s="11" t="s">
        <v>1033</v>
      </c>
      <c r="D212" s="11" t="s">
        <v>1034</v>
      </c>
      <c r="E212" s="13" t="s">
        <v>154</v>
      </c>
      <c r="F212" s="11" t="s">
        <v>1035</v>
      </c>
      <c r="G212" s="26">
        <v>10</v>
      </c>
      <c r="H212" s="11" t="s">
        <v>1036</v>
      </c>
      <c r="I212" s="11" t="s">
        <v>157</v>
      </c>
      <c r="J212" s="28">
        <v>0</v>
      </c>
      <c r="K212" s="26" t="s">
        <v>499</v>
      </c>
      <c r="L212" s="26">
        <v>7</v>
      </c>
      <c r="M212" s="28">
        <f t="shared" si="47"/>
        <v>7</v>
      </c>
      <c r="N212" s="28">
        <v>160</v>
      </c>
      <c r="O212" s="28">
        <v>60</v>
      </c>
      <c r="P212" s="26">
        <f t="shared" si="48"/>
        <v>4200</v>
      </c>
      <c r="Q212" s="37">
        <v>4200</v>
      </c>
      <c r="R212" s="38" t="s">
        <v>1037</v>
      </c>
      <c r="S212" s="38" t="s">
        <v>1038</v>
      </c>
      <c r="T212" s="38" t="s">
        <v>1037</v>
      </c>
      <c r="U212" s="38" t="str">
        <f t="shared" si="49"/>
        <v>港澳处、律所、会所三方审核结论一致，符合给予租金补贴4200元条件。</v>
      </c>
      <c r="V212" s="2">
        <f t="shared" si="41"/>
        <v>4200</v>
      </c>
      <c r="W212" s="73">
        <f t="shared" si="42"/>
        <v>0</v>
      </c>
    </row>
    <row r="213" ht="300" customHeight="1" spans="1:23">
      <c r="A213" s="11">
        <v>120</v>
      </c>
      <c r="B213" s="11" t="s">
        <v>122</v>
      </c>
      <c r="C213" s="11" t="s">
        <v>1039</v>
      </c>
      <c r="D213" s="11" t="s">
        <v>1040</v>
      </c>
      <c r="E213" s="13" t="s">
        <v>154</v>
      </c>
      <c r="F213" s="11" t="s">
        <v>1041</v>
      </c>
      <c r="G213" s="26">
        <v>10</v>
      </c>
      <c r="H213" s="11" t="s">
        <v>1036</v>
      </c>
      <c r="I213" s="11" t="s">
        <v>157</v>
      </c>
      <c r="J213" s="28">
        <v>0</v>
      </c>
      <c r="K213" s="26" t="s">
        <v>499</v>
      </c>
      <c r="L213" s="26">
        <v>7</v>
      </c>
      <c r="M213" s="28">
        <f t="shared" si="47"/>
        <v>7</v>
      </c>
      <c r="N213" s="28">
        <v>160</v>
      </c>
      <c r="O213" s="28">
        <v>60</v>
      </c>
      <c r="P213" s="26">
        <f t="shared" si="48"/>
        <v>4200</v>
      </c>
      <c r="Q213" s="37">
        <v>4200</v>
      </c>
      <c r="R213" s="38" t="s">
        <v>1037</v>
      </c>
      <c r="S213" s="38" t="s">
        <v>1038</v>
      </c>
      <c r="T213" s="38" t="s">
        <v>1037</v>
      </c>
      <c r="U213" s="38" t="str">
        <f t="shared" si="49"/>
        <v>港澳处、律所、会所三方审核结论一致，符合给予租金补贴4200元条件。</v>
      </c>
      <c r="V213" s="2">
        <f t="shared" si="41"/>
        <v>4200</v>
      </c>
      <c r="W213" s="73">
        <f t="shared" si="42"/>
        <v>0</v>
      </c>
    </row>
    <row r="214" ht="300" customHeight="1" spans="1:23">
      <c r="A214" s="11">
        <v>121</v>
      </c>
      <c r="B214" s="11" t="s">
        <v>123</v>
      </c>
      <c r="C214" s="11" t="s">
        <v>1042</v>
      </c>
      <c r="D214" s="11" t="s">
        <v>1043</v>
      </c>
      <c r="E214" s="13" t="s">
        <v>154</v>
      </c>
      <c r="F214" s="11" t="s">
        <v>1044</v>
      </c>
      <c r="G214" s="26">
        <v>10</v>
      </c>
      <c r="H214" s="11" t="s">
        <v>1045</v>
      </c>
      <c r="I214" s="11" t="s">
        <v>220</v>
      </c>
      <c r="J214" s="28">
        <v>12</v>
      </c>
      <c r="K214" s="26" t="s">
        <v>359</v>
      </c>
      <c r="L214" s="26">
        <v>12</v>
      </c>
      <c r="M214" s="28">
        <f t="shared" si="47"/>
        <v>24</v>
      </c>
      <c r="N214" s="28">
        <v>130</v>
      </c>
      <c r="O214" s="28">
        <v>60</v>
      </c>
      <c r="P214" s="26">
        <f t="shared" si="48"/>
        <v>7200</v>
      </c>
      <c r="Q214" s="37">
        <v>7200</v>
      </c>
      <c r="R214" s="38" t="s">
        <v>375</v>
      </c>
      <c r="S214" s="38" t="s">
        <v>376</v>
      </c>
      <c r="T214" s="38" t="s">
        <v>375</v>
      </c>
      <c r="U214" s="38" t="str">
        <f t="shared" si="49"/>
        <v>港澳处、律所、会所三方审核结论一致，符合给予租金补贴7200元条件。</v>
      </c>
      <c r="V214" s="2">
        <f t="shared" si="41"/>
        <v>7200</v>
      </c>
      <c r="W214" s="73">
        <f t="shared" si="42"/>
        <v>0</v>
      </c>
    </row>
    <row r="215" ht="300" customHeight="1" spans="1:23">
      <c r="A215" s="11">
        <v>122</v>
      </c>
      <c r="B215" s="11" t="s">
        <v>124</v>
      </c>
      <c r="C215" s="11" t="s">
        <v>1018</v>
      </c>
      <c r="D215" s="11" t="s">
        <v>1046</v>
      </c>
      <c r="E215" s="13" t="s">
        <v>154</v>
      </c>
      <c r="F215" s="11" t="s">
        <v>1047</v>
      </c>
      <c r="G215" s="26">
        <v>10</v>
      </c>
      <c r="H215" s="11" t="s">
        <v>1036</v>
      </c>
      <c r="I215" s="11" t="s">
        <v>157</v>
      </c>
      <c r="J215" s="28">
        <v>0</v>
      </c>
      <c r="K215" s="26" t="s">
        <v>499</v>
      </c>
      <c r="L215" s="26">
        <v>7</v>
      </c>
      <c r="M215" s="28">
        <f t="shared" si="47"/>
        <v>7</v>
      </c>
      <c r="N215" s="28">
        <v>130</v>
      </c>
      <c r="O215" s="28">
        <v>60</v>
      </c>
      <c r="P215" s="26">
        <f t="shared" si="48"/>
        <v>4200</v>
      </c>
      <c r="Q215" s="37">
        <v>4200</v>
      </c>
      <c r="R215" s="38" t="s">
        <v>1037</v>
      </c>
      <c r="S215" s="38" t="s">
        <v>1038</v>
      </c>
      <c r="T215" s="38" t="s">
        <v>1037</v>
      </c>
      <c r="U215" s="38" t="str">
        <f t="shared" si="49"/>
        <v>港澳处、律所、会所三方审核结论一致，符合给予租金补贴4200元条件。</v>
      </c>
      <c r="V215" s="2">
        <f t="shared" si="41"/>
        <v>4200</v>
      </c>
      <c r="W215" s="73">
        <f t="shared" si="42"/>
        <v>0</v>
      </c>
    </row>
    <row r="216" ht="300" customHeight="1" spans="1:23">
      <c r="A216" s="11">
        <v>123</v>
      </c>
      <c r="B216" s="11" t="s">
        <v>125</v>
      </c>
      <c r="C216" s="11" t="s">
        <v>1048</v>
      </c>
      <c r="D216" s="11" t="s">
        <v>1049</v>
      </c>
      <c r="E216" s="13" t="s">
        <v>154</v>
      </c>
      <c r="F216" s="11" t="s">
        <v>1050</v>
      </c>
      <c r="G216" s="26">
        <v>50</v>
      </c>
      <c r="H216" s="11" t="s">
        <v>399</v>
      </c>
      <c r="I216" s="11" t="s">
        <v>157</v>
      </c>
      <c r="J216" s="28">
        <v>0</v>
      </c>
      <c r="K216" s="26" t="s">
        <v>1051</v>
      </c>
      <c r="L216" s="26">
        <f>(30-4+1)/30+9</f>
        <v>9.9</v>
      </c>
      <c r="M216" s="28">
        <f t="shared" si="47"/>
        <v>9.9</v>
      </c>
      <c r="N216" s="28">
        <v>150</v>
      </c>
      <c r="O216" s="28">
        <v>60</v>
      </c>
      <c r="P216" s="26">
        <f t="shared" si="48"/>
        <v>29700</v>
      </c>
      <c r="Q216" s="37">
        <v>29700</v>
      </c>
      <c r="R216" s="38" t="s">
        <v>1052</v>
      </c>
      <c r="S216" s="38" t="s">
        <v>1053</v>
      </c>
      <c r="T216" s="38" t="s">
        <v>1052</v>
      </c>
      <c r="U216" s="38" t="str">
        <f t="shared" si="49"/>
        <v>港澳处、律所、会所三方审核结论一致，符合给予租金补贴29700元条件。</v>
      </c>
      <c r="V216" s="2">
        <f t="shared" si="41"/>
        <v>29700</v>
      </c>
      <c r="W216" s="73">
        <f t="shared" si="42"/>
        <v>0</v>
      </c>
    </row>
    <row r="217" ht="150" customHeight="1" spans="1:23">
      <c r="A217" s="11">
        <v>124</v>
      </c>
      <c r="B217" s="11" t="s">
        <v>126</v>
      </c>
      <c r="C217" s="11" t="s">
        <v>1054</v>
      </c>
      <c r="D217" s="85" t="s">
        <v>1055</v>
      </c>
      <c r="E217" s="17" t="s">
        <v>154</v>
      </c>
      <c r="F217" s="11" t="s">
        <v>1056</v>
      </c>
      <c r="G217" s="26">
        <v>1560</v>
      </c>
      <c r="H217" s="11" t="s">
        <v>1057</v>
      </c>
      <c r="I217" s="11" t="s">
        <v>157</v>
      </c>
      <c r="J217" s="28">
        <v>0</v>
      </c>
      <c r="K217" s="11" t="s">
        <v>1057</v>
      </c>
      <c r="L217" s="26">
        <v>3</v>
      </c>
      <c r="M217" s="28">
        <f>L217+L218+J217</f>
        <v>5</v>
      </c>
      <c r="N217" s="28">
        <v>147.47</v>
      </c>
      <c r="O217" s="28">
        <v>60</v>
      </c>
      <c r="P217" s="26">
        <f t="shared" si="48"/>
        <v>280800</v>
      </c>
      <c r="Q217" s="37">
        <v>300000</v>
      </c>
      <c r="R217" s="38" t="s">
        <v>476</v>
      </c>
      <c r="S217" s="38" t="s">
        <v>477</v>
      </c>
      <c r="T217" s="38" t="s">
        <v>476</v>
      </c>
      <c r="U217" s="38" t="str">
        <f t="shared" si="49"/>
        <v>港澳处、律所、会所三方审核结论一致，符合给予租金补贴300000元条件。</v>
      </c>
      <c r="V217" s="2">
        <f t="shared" si="41"/>
        <v>280800</v>
      </c>
      <c r="W217" s="73">
        <f t="shared" si="42"/>
        <v>0</v>
      </c>
    </row>
    <row r="218" ht="150" customHeight="1" spans="1:23">
      <c r="A218" s="11"/>
      <c r="B218" s="11"/>
      <c r="C218" s="11"/>
      <c r="D218" s="11"/>
      <c r="E218" s="18"/>
      <c r="F218" s="11" t="s">
        <v>1058</v>
      </c>
      <c r="G218" s="26">
        <v>1800</v>
      </c>
      <c r="H218" s="11" t="s">
        <v>1059</v>
      </c>
      <c r="I218" s="11"/>
      <c r="J218" s="28"/>
      <c r="K218" s="26" t="s">
        <v>228</v>
      </c>
      <c r="L218" s="26">
        <v>2</v>
      </c>
      <c r="M218" s="28"/>
      <c r="N218" s="28">
        <f>265446/1800</f>
        <v>147.47</v>
      </c>
      <c r="O218" s="28">
        <v>60</v>
      </c>
      <c r="P218" s="26">
        <f t="shared" si="48"/>
        <v>216000</v>
      </c>
      <c r="Q218" s="37"/>
      <c r="R218" s="38"/>
      <c r="S218" s="38"/>
      <c r="T218" s="38"/>
      <c r="U218" s="38"/>
      <c r="V218" s="2">
        <f t="shared" si="41"/>
        <v>216000</v>
      </c>
      <c r="W218" s="73">
        <f t="shared" si="42"/>
        <v>0</v>
      </c>
    </row>
    <row r="219" ht="300" customHeight="1" spans="1:23">
      <c r="A219" s="11">
        <v>125</v>
      </c>
      <c r="B219" s="11" t="s">
        <v>1060</v>
      </c>
      <c r="C219" s="11" t="s">
        <v>1061</v>
      </c>
      <c r="D219" s="11" t="s">
        <v>1062</v>
      </c>
      <c r="E219" s="13" t="s">
        <v>154</v>
      </c>
      <c r="F219" s="11" t="s">
        <v>1063</v>
      </c>
      <c r="G219" s="26">
        <v>10</v>
      </c>
      <c r="H219" s="11" t="s">
        <v>257</v>
      </c>
      <c r="I219" s="11" t="s">
        <v>220</v>
      </c>
      <c r="J219" s="28">
        <v>12</v>
      </c>
      <c r="K219" s="26" t="s">
        <v>206</v>
      </c>
      <c r="L219" s="26">
        <f>(31-17+1)/31+6</f>
        <v>6.48387096774194</v>
      </c>
      <c r="M219" s="28">
        <f t="shared" ref="M219:M221" si="50">L219+J219</f>
        <v>18.4838709677419</v>
      </c>
      <c r="N219" s="28">
        <v>150</v>
      </c>
      <c r="O219" s="28">
        <v>60</v>
      </c>
      <c r="P219" s="26">
        <f t="shared" si="48"/>
        <v>3890.32258064516</v>
      </c>
      <c r="Q219" s="37">
        <v>3890</v>
      </c>
      <c r="R219" s="38" t="s">
        <v>439</v>
      </c>
      <c r="S219" s="38" t="s">
        <v>440</v>
      </c>
      <c r="T219" s="38" t="s">
        <v>439</v>
      </c>
      <c r="U219" s="38" t="str">
        <f t="shared" ref="U219:U222" si="51">"港澳处、律所、会所三方审核结论一致，符合给予租金补贴"&amp;Q219&amp;"元条件。"</f>
        <v>港澳处、律所、会所三方审核结论一致，符合给予租金补贴3890元条件。</v>
      </c>
      <c r="V219" s="2">
        <f t="shared" si="41"/>
        <v>3890.32258064516</v>
      </c>
      <c r="W219" s="73">
        <f t="shared" si="42"/>
        <v>0</v>
      </c>
    </row>
    <row r="220" ht="300" customHeight="1" spans="1:23">
      <c r="A220" s="11">
        <v>126</v>
      </c>
      <c r="B220" s="11" t="s">
        <v>127</v>
      </c>
      <c r="C220" s="11" t="s">
        <v>1064</v>
      </c>
      <c r="D220" s="11" t="s">
        <v>1065</v>
      </c>
      <c r="E220" s="13" t="s">
        <v>154</v>
      </c>
      <c r="F220" s="11" t="s">
        <v>1066</v>
      </c>
      <c r="G220" s="26">
        <v>580</v>
      </c>
      <c r="H220" s="11" t="s">
        <v>675</v>
      </c>
      <c r="I220" s="11" t="s">
        <v>157</v>
      </c>
      <c r="J220" s="28">
        <v>0</v>
      </c>
      <c r="K220" s="26" t="s">
        <v>1067</v>
      </c>
      <c r="L220" s="26">
        <v>18</v>
      </c>
      <c r="M220" s="28">
        <f t="shared" si="50"/>
        <v>18</v>
      </c>
      <c r="N220" s="28">
        <v>160</v>
      </c>
      <c r="O220" s="28">
        <v>60</v>
      </c>
      <c r="P220" s="26">
        <f>G220*12*60+G220*6*60</f>
        <v>626400</v>
      </c>
      <c r="Q220" s="37">
        <v>508800</v>
      </c>
      <c r="R220" s="38" t="s">
        <v>1068</v>
      </c>
      <c r="S220" s="38" t="s">
        <v>1069</v>
      </c>
      <c r="T220" s="38" t="s">
        <v>1068</v>
      </c>
      <c r="U220" s="38" t="str">
        <f t="shared" si="51"/>
        <v>港澳处、律所、会所三方审核结论一致，符合给予租金补贴508800元条件。</v>
      </c>
      <c r="V220" s="2">
        <f t="shared" si="41"/>
        <v>626400</v>
      </c>
      <c r="W220" s="73">
        <f t="shared" si="42"/>
        <v>0</v>
      </c>
    </row>
    <row r="221" ht="300" customHeight="1" spans="1:23">
      <c r="A221" s="11">
        <v>127</v>
      </c>
      <c r="B221" s="11" t="s">
        <v>128</v>
      </c>
      <c r="C221" s="11" t="s">
        <v>1070</v>
      </c>
      <c r="D221" s="11" t="s">
        <v>1071</v>
      </c>
      <c r="E221" s="13" t="s">
        <v>154</v>
      </c>
      <c r="F221" s="11" t="s">
        <v>1072</v>
      </c>
      <c r="G221" s="26">
        <v>42.38</v>
      </c>
      <c r="H221" s="11" t="s">
        <v>613</v>
      </c>
      <c r="I221" s="11" t="s">
        <v>157</v>
      </c>
      <c r="J221" s="28">
        <v>0</v>
      </c>
      <c r="K221" s="26" t="s">
        <v>602</v>
      </c>
      <c r="L221" s="26">
        <v>6</v>
      </c>
      <c r="M221" s="28">
        <f t="shared" si="50"/>
        <v>6</v>
      </c>
      <c r="N221" s="28">
        <v>147.46</v>
      </c>
      <c r="O221" s="28">
        <v>60</v>
      </c>
      <c r="P221" s="26">
        <f t="shared" ref="P221:P223" si="52">G221*L221*60</f>
        <v>15256.8</v>
      </c>
      <c r="Q221" s="37">
        <v>15256</v>
      </c>
      <c r="R221" s="38" t="s">
        <v>1073</v>
      </c>
      <c r="S221" s="38" t="s">
        <v>1074</v>
      </c>
      <c r="T221" s="38" t="s">
        <v>1073</v>
      </c>
      <c r="U221" s="38" t="str">
        <f t="shared" si="51"/>
        <v>港澳处、律所、会所三方审核结论一致，符合给予租金补贴15256元条件。</v>
      </c>
      <c r="V221" s="2">
        <f t="shared" si="41"/>
        <v>15256.8</v>
      </c>
      <c r="W221" s="73">
        <f t="shared" si="42"/>
        <v>0</v>
      </c>
    </row>
    <row r="222" ht="150" customHeight="1" spans="1:23">
      <c r="A222" s="11">
        <v>128</v>
      </c>
      <c r="B222" s="11" t="s">
        <v>129</v>
      </c>
      <c r="C222" s="11" t="s">
        <v>1075</v>
      </c>
      <c r="D222" s="11" t="s">
        <v>1076</v>
      </c>
      <c r="E222" s="17" t="s">
        <v>154</v>
      </c>
      <c r="F222" s="11" t="s">
        <v>1077</v>
      </c>
      <c r="G222" s="26">
        <v>8</v>
      </c>
      <c r="H222" s="11" t="s">
        <v>1078</v>
      </c>
      <c r="I222" s="11" t="s">
        <v>157</v>
      </c>
      <c r="J222" s="28">
        <v>0</v>
      </c>
      <c r="K222" s="26" t="s">
        <v>1079</v>
      </c>
      <c r="L222" s="26">
        <f>(31-17+1)/31+11</f>
        <v>11.4838709677419</v>
      </c>
      <c r="M222" s="28">
        <v>11.48</v>
      </c>
      <c r="N222" s="28">
        <f>1500/8</f>
        <v>187.5</v>
      </c>
      <c r="O222" s="28">
        <v>60</v>
      </c>
      <c r="P222" s="26">
        <f t="shared" si="52"/>
        <v>5512.25806451613</v>
      </c>
      <c r="Q222" s="37">
        <v>10912</v>
      </c>
      <c r="R222" s="38" t="s">
        <v>1080</v>
      </c>
      <c r="S222" s="38" t="s">
        <v>1081</v>
      </c>
      <c r="T222" s="38" t="s">
        <v>1080</v>
      </c>
      <c r="U222" s="38" t="str">
        <f t="shared" si="51"/>
        <v>港澳处、律所、会所三方审核结论一致，符合给予租金补贴10912元条件。</v>
      </c>
      <c r="V222" s="2">
        <f t="shared" si="41"/>
        <v>5512.25806451613</v>
      </c>
      <c r="W222" s="73">
        <f t="shared" si="42"/>
        <v>0</v>
      </c>
    </row>
    <row r="223" ht="150" customHeight="1" spans="1:23">
      <c r="A223" s="11"/>
      <c r="B223" s="11"/>
      <c r="C223" s="11"/>
      <c r="D223" s="11"/>
      <c r="E223" s="18"/>
      <c r="F223" s="11" t="s">
        <v>1082</v>
      </c>
      <c r="G223" s="26">
        <v>30</v>
      </c>
      <c r="H223" s="11" t="s">
        <v>272</v>
      </c>
      <c r="I223" s="11"/>
      <c r="J223" s="28"/>
      <c r="K223" s="26" t="s">
        <v>273</v>
      </c>
      <c r="L223" s="26">
        <v>3</v>
      </c>
      <c r="M223" s="28"/>
      <c r="N223" s="28">
        <v>147.46</v>
      </c>
      <c r="O223" s="28">
        <v>60</v>
      </c>
      <c r="P223" s="26">
        <f t="shared" si="52"/>
        <v>5400</v>
      </c>
      <c r="Q223" s="37"/>
      <c r="R223" s="38"/>
      <c r="S223" s="38"/>
      <c r="T223" s="38"/>
      <c r="U223" s="38"/>
      <c r="V223" s="2">
        <f t="shared" si="41"/>
        <v>5400</v>
      </c>
      <c r="W223" s="73">
        <f t="shared" si="42"/>
        <v>0</v>
      </c>
    </row>
    <row r="224" s="3" customFormat="1" ht="150" customHeight="1" spans="1:23">
      <c r="A224" s="40">
        <v>129</v>
      </c>
      <c r="B224" s="21" t="s">
        <v>130</v>
      </c>
      <c r="C224" s="21" t="s">
        <v>1083</v>
      </c>
      <c r="D224" s="21" t="s">
        <v>1084</v>
      </c>
      <c r="E224" s="20" t="s">
        <v>154</v>
      </c>
      <c r="F224" s="40" t="s">
        <v>1085</v>
      </c>
      <c r="G224" s="47">
        <v>10</v>
      </c>
      <c r="H224" s="40" t="s">
        <v>1086</v>
      </c>
      <c r="I224" s="40" t="s">
        <v>1087</v>
      </c>
      <c r="J224" s="29">
        <v>0</v>
      </c>
      <c r="K224" s="68" t="s">
        <v>1088</v>
      </c>
      <c r="L224" s="26">
        <f>2+(31-8+1)/31</f>
        <v>2.7741935483871</v>
      </c>
      <c r="M224" s="47">
        <f>L224+L225</f>
        <v>3.01557285873192</v>
      </c>
      <c r="N224" s="26">
        <v>260</v>
      </c>
      <c r="O224" s="26">
        <v>60</v>
      </c>
      <c r="P224" s="26">
        <f>L224*G224*O224</f>
        <v>1664.51612903226</v>
      </c>
      <c r="Q224" s="50">
        <v>1809</v>
      </c>
      <c r="R224" s="51" t="s">
        <v>1089</v>
      </c>
      <c r="S224" s="51" t="s">
        <v>1090</v>
      </c>
      <c r="T224" s="51" t="s">
        <v>1089</v>
      </c>
      <c r="U224" s="51" t="str">
        <f>"港澳处、律所、会所三方审核结论一致，符合给予租金补贴"&amp;Q224&amp;"元条件。"</f>
        <v>港澳处、律所、会所三方审核结论一致，符合给予租金补贴1809元条件。</v>
      </c>
      <c r="V224" s="2">
        <f t="shared" si="41"/>
        <v>1664.51612903226</v>
      </c>
      <c r="W224" s="73">
        <f t="shared" si="42"/>
        <v>0</v>
      </c>
    </row>
    <row r="225" s="3" customFormat="1" ht="150" customHeight="1" spans="1:23">
      <c r="A225" s="42"/>
      <c r="B225" s="22"/>
      <c r="C225" s="22"/>
      <c r="D225" s="22"/>
      <c r="E225" s="18"/>
      <c r="F225" s="42"/>
      <c r="G225" s="48"/>
      <c r="H225" s="42"/>
      <c r="I225" s="42"/>
      <c r="J225" s="30"/>
      <c r="K225" s="27" t="s">
        <v>1091</v>
      </c>
      <c r="L225" s="26">
        <f>7/29</f>
        <v>0.241379310344828</v>
      </c>
      <c r="M225" s="48"/>
      <c r="N225" s="26">
        <v>260</v>
      </c>
      <c r="O225" s="26"/>
      <c r="P225" s="26">
        <f>G224*L225*O224</f>
        <v>144.827586206897</v>
      </c>
      <c r="Q225" s="52"/>
      <c r="R225" s="53"/>
      <c r="S225" s="53"/>
      <c r="T225" s="53"/>
      <c r="U225" s="53"/>
      <c r="V225" s="74">
        <f>G224*L225*O224</f>
        <v>144.827586206897</v>
      </c>
      <c r="W225" s="73">
        <f t="shared" si="42"/>
        <v>0</v>
      </c>
    </row>
    <row r="226" s="3" customFormat="1" ht="300" customHeight="1" spans="1:23">
      <c r="A226" s="11">
        <v>130</v>
      </c>
      <c r="B226" s="14" t="s">
        <v>131</v>
      </c>
      <c r="C226" s="14" t="s">
        <v>1092</v>
      </c>
      <c r="D226" s="14" t="s">
        <v>1093</v>
      </c>
      <c r="E226" s="18" t="s">
        <v>154</v>
      </c>
      <c r="F226" s="11" t="s">
        <v>1094</v>
      </c>
      <c r="G226" s="26">
        <v>210.28</v>
      </c>
      <c r="H226" s="11" t="s">
        <v>1095</v>
      </c>
      <c r="I226" s="11" t="s">
        <v>1096</v>
      </c>
      <c r="J226" s="28">
        <v>0</v>
      </c>
      <c r="K226" s="27" t="s">
        <v>1097</v>
      </c>
      <c r="L226" s="26">
        <v>13</v>
      </c>
      <c r="M226" s="28">
        <v>13</v>
      </c>
      <c r="N226" s="28">
        <f>21638/210.28</f>
        <v>102.900894046034</v>
      </c>
      <c r="O226" s="28">
        <f>N226*0.5</f>
        <v>51.4504470230169</v>
      </c>
      <c r="P226" s="26">
        <f>21638*13*0.5</f>
        <v>140647</v>
      </c>
      <c r="Q226" s="37">
        <f>21638*13*0.5</f>
        <v>140647</v>
      </c>
      <c r="R226" s="38" t="s">
        <v>1098</v>
      </c>
      <c r="S226" s="38" t="s">
        <v>1099</v>
      </c>
      <c r="T226" s="38" t="s">
        <v>1098</v>
      </c>
      <c r="U226" s="38" t="str">
        <f>"港澳处、律所、会所三方审核结论一致，符合给予租金补贴"&amp;Q226&amp;"元条件。"</f>
        <v>港澳处、律所、会所三方审核结论一致，符合给予租金补贴140647元条件。</v>
      </c>
      <c r="V226" s="2">
        <f>L226*O226*G226</f>
        <v>140647</v>
      </c>
      <c r="W226" s="73">
        <f t="shared" si="42"/>
        <v>0</v>
      </c>
    </row>
    <row r="227" ht="55.05" customHeight="1" spans="1:20">
      <c r="A227" s="11" t="s">
        <v>1100</v>
      </c>
      <c r="B227" s="11"/>
      <c r="C227" s="11"/>
      <c r="D227" s="11"/>
      <c r="E227" s="11"/>
      <c r="F227" s="11"/>
      <c r="G227" s="11"/>
      <c r="H227" s="11"/>
      <c r="I227" s="11"/>
      <c r="J227" s="11"/>
      <c r="K227" s="11"/>
      <c r="L227" s="11"/>
      <c r="M227" s="11"/>
      <c r="N227" s="11"/>
      <c r="O227" s="11"/>
      <c r="P227" s="11"/>
      <c r="Q227" s="37">
        <f>SUM(Q3:Q226)</f>
        <v>10242622</v>
      </c>
      <c r="R227" s="8"/>
      <c r="S227" s="8"/>
      <c r="T227" s="8"/>
    </row>
    <row r="228" s="4" customFormat="1" ht="80" customHeight="1" spans="1:30">
      <c r="A228" s="44" t="s">
        <v>1101</v>
      </c>
      <c r="B228" s="44"/>
      <c r="C228" s="44"/>
      <c r="D228" s="45"/>
      <c r="E228" s="45"/>
      <c r="F228" s="45"/>
      <c r="G228" s="45"/>
      <c r="H228" s="45"/>
      <c r="I228" s="45"/>
      <c r="J228" s="45"/>
      <c r="K228" s="45"/>
      <c r="L228" s="45"/>
      <c r="M228" s="49"/>
      <c r="N228" s="49"/>
      <c r="O228" s="49"/>
      <c r="P228" s="45"/>
      <c r="Q228" s="49"/>
      <c r="R228" s="54"/>
      <c r="S228" s="54"/>
      <c r="T228" s="54"/>
      <c r="U228" s="54"/>
      <c r="V228" s="49"/>
      <c r="W228" s="54"/>
      <c r="X228" s="54"/>
      <c r="Y228" s="54"/>
      <c r="Z228" s="54"/>
      <c r="AA228" s="54"/>
      <c r="AB228" s="55"/>
      <c r="AC228" s="55"/>
      <c r="AD228" s="56"/>
    </row>
    <row r="229" s="4" customFormat="1" ht="80" customHeight="1" spans="1:30">
      <c r="A229" s="44" t="s">
        <v>1102</v>
      </c>
      <c r="B229" s="46"/>
      <c r="C229" s="45"/>
      <c r="D229" s="45"/>
      <c r="E229" s="45"/>
      <c r="F229" s="45"/>
      <c r="G229" s="45"/>
      <c r="H229" s="45"/>
      <c r="I229" s="45"/>
      <c r="J229" s="45"/>
      <c r="K229" s="45"/>
      <c r="L229" s="45"/>
      <c r="M229" s="49"/>
      <c r="N229" s="49"/>
      <c r="O229" s="49"/>
      <c r="P229" s="45"/>
      <c r="Q229" s="49"/>
      <c r="R229" s="54"/>
      <c r="S229" s="54"/>
      <c r="T229" s="54"/>
      <c r="U229" s="54"/>
      <c r="V229" s="49"/>
      <c r="W229" s="54"/>
      <c r="X229" s="54"/>
      <c r="Y229" s="54"/>
      <c r="Z229" s="54"/>
      <c r="AA229" s="54"/>
      <c r="AB229" s="55"/>
      <c r="AC229" s="55"/>
      <c r="AD229" s="56"/>
    </row>
    <row r="230" s="4" customFormat="1" ht="80" customHeight="1" spans="1:30">
      <c r="A230" s="44" t="s">
        <v>1103</v>
      </c>
      <c r="B230" s="46"/>
      <c r="C230" s="45"/>
      <c r="D230" s="45"/>
      <c r="E230" s="45"/>
      <c r="F230" s="45"/>
      <c r="G230" s="45"/>
      <c r="H230" s="45"/>
      <c r="I230" s="45"/>
      <c r="J230" s="45"/>
      <c r="K230" s="45"/>
      <c r="L230" s="45"/>
      <c r="M230" s="49"/>
      <c r="N230" s="49"/>
      <c r="O230" s="49"/>
      <c r="P230" s="45"/>
      <c r="Q230" s="49"/>
      <c r="R230" s="54"/>
      <c r="S230" s="54"/>
      <c r="T230" s="54"/>
      <c r="U230" s="54"/>
      <c r="V230" s="49"/>
      <c r="W230" s="54"/>
      <c r="X230" s="54"/>
      <c r="Y230" s="54"/>
      <c r="Z230" s="54"/>
      <c r="AA230" s="54"/>
      <c r="AB230" s="55"/>
      <c r="AC230" s="55"/>
      <c r="AD230" s="56"/>
    </row>
    <row r="243" spans="2:2">
      <c r="B243" s="57"/>
    </row>
    <row r="244" spans="2:2">
      <c r="B244" s="57"/>
    </row>
    <row r="245" spans="2:2">
      <c r="B245" s="57"/>
    </row>
    <row r="246" spans="2:2">
      <c r="B246" s="57"/>
    </row>
    <row r="247" spans="2:2">
      <c r="B247" s="57"/>
    </row>
    <row r="248" spans="2:2">
      <c r="B248" s="57"/>
    </row>
    <row r="249" spans="2:2">
      <c r="B249" s="57"/>
    </row>
  </sheetData>
  <autoFilter ref="A2:AD230">
    <extLst/>
  </autoFilter>
  <mergeCells count="750">
    <mergeCell ref="A1:U1"/>
    <mergeCell ref="A228:C228"/>
    <mergeCell ref="A229:B229"/>
    <mergeCell ref="A230:B230"/>
    <mergeCell ref="A4:A5"/>
    <mergeCell ref="A7:A8"/>
    <mergeCell ref="A10:A11"/>
    <mergeCell ref="A12:A13"/>
    <mergeCell ref="A14:A16"/>
    <mergeCell ref="A18:A19"/>
    <mergeCell ref="A20:A21"/>
    <mergeCell ref="A23:A26"/>
    <mergeCell ref="A32:A39"/>
    <mergeCell ref="A41:A42"/>
    <mergeCell ref="A45:A47"/>
    <mergeCell ref="A50:A51"/>
    <mergeCell ref="A52:A55"/>
    <mergeCell ref="A61:A62"/>
    <mergeCell ref="A64:A68"/>
    <mergeCell ref="A70:A72"/>
    <mergeCell ref="A73:A75"/>
    <mergeCell ref="A76:A79"/>
    <mergeCell ref="A80:A81"/>
    <mergeCell ref="A85:A88"/>
    <mergeCell ref="A91:A92"/>
    <mergeCell ref="A95:A96"/>
    <mergeCell ref="A97:A99"/>
    <mergeCell ref="A100:A102"/>
    <mergeCell ref="A104:A106"/>
    <mergeCell ref="A107:A108"/>
    <mergeCell ref="A109:A111"/>
    <mergeCell ref="A112:A114"/>
    <mergeCell ref="A115:A116"/>
    <mergeCell ref="A120:A121"/>
    <mergeCell ref="A123:A124"/>
    <mergeCell ref="A125:A128"/>
    <mergeCell ref="A129:A130"/>
    <mergeCell ref="A135:A136"/>
    <mergeCell ref="A139:A140"/>
    <mergeCell ref="A146:A148"/>
    <mergeCell ref="A149:A151"/>
    <mergeCell ref="A153:A154"/>
    <mergeCell ref="A155:A156"/>
    <mergeCell ref="A160:A161"/>
    <mergeCell ref="A164:A167"/>
    <mergeCell ref="A169:A172"/>
    <mergeCell ref="A173:A174"/>
    <mergeCell ref="A176:A177"/>
    <mergeCell ref="A179:A181"/>
    <mergeCell ref="A182:A183"/>
    <mergeCell ref="A184:A185"/>
    <mergeCell ref="A191:A192"/>
    <mergeCell ref="A193:A194"/>
    <mergeCell ref="A196:A197"/>
    <mergeCell ref="A198:A201"/>
    <mergeCell ref="A204:A205"/>
    <mergeCell ref="A206:A207"/>
    <mergeCell ref="A209:A210"/>
    <mergeCell ref="A217:A218"/>
    <mergeCell ref="A222:A223"/>
    <mergeCell ref="A224:A225"/>
    <mergeCell ref="B4:B5"/>
    <mergeCell ref="B7:B8"/>
    <mergeCell ref="B10:B11"/>
    <mergeCell ref="B12:B13"/>
    <mergeCell ref="B14:B16"/>
    <mergeCell ref="B18:B19"/>
    <mergeCell ref="B20:B21"/>
    <mergeCell ref="B23:B26"/>
    <mergeCell ref="B32:B39"/>
    <mergeCell ref="B41:B42"/>
    <mergeCell ref="B45:B47"/>
    <mergeCell ref="B50:B51"/>
    <mergeCell ref="B52:B55"/>
    <mergeCell ref="B61:B62"/>
    <mergeCell ref="B64:B68"/>
    <mergeCell ref="B70:B72"/>
    <mergeCell ref="B73:B75"/>
    <mergeCell ref="B76:B79"/>
    <mergeCell ref="B80:B81"/>
    <mergeCell ref="B85:B88"/>
    <mergeCell ref="B91:B92"/>
    <mergeCell ref="B95:B96"/>
    <mergeCell ref="B97:B99"/>
    <mergeCell ref="B100:B102"/>
    <mergeCell ref="B104:B106"/>
    <mergeCell ref="B107:B108"/>
    <mergeCell ref="B109:B111"/>
    <mergeCell ref="B112:B114"/>
    <mergeCell ref="B115:B116"/>
    <mergeCell ref="B120:B121"/>
    <mergeCell ref="B123:B124"/>
    <mergeCell ref="B125:B128"/>
    <mergeCell ref="B129:B130"/>
    <mergeCell ref="B135:B136"/>
    <mergeCell ref="B139:B140"/>
    <mergeCell ref="B146:B148"/>
    <mergeCell ref="B149:B151"/>
    <mergeCell ref="B153:B154"/>
    <mergeCell ref="B155:B156"/>
    <mergeCell ref="B160:B161"/>
    <mergeCell ref="B164:B167"/>
    <mergeCell ref="B169:B172"/>
    <mergeCell ref="B173:B174"/>
    <mergeCell ref="B176:B177"/>
    <mergeCell ref="B179:B181"/>
    <mergeCell ref="B182:B183"/>
    <mergeCell ref="B184:B185"/>
    <mergeCell ref="B191:B192"/>
    <mergeCell ref="B193:B194"/>
    <mergeCell ref="B196:B197"/>
    <mergeCell ref="B198:B201"/>
    <mergeCell ref="B204:B205"/>
    <mergeCell ref="B206:B207"/>
    <mergeCell ref="B209:B210"/>
    <mergeCell ref="B217:B218"/>
    <mergeCell ref="B222:B223"/>
    <mergeCell ref="B224:B225"/>
    <mergeCell ref="C4:C5"/>
    <mergeCell ref="C7:C8"/>
    <mergeCell ref="C10:C11"/>
    <mergeCell ref="C12:C13"/>
    <mergeCell ref="C14:C16"/>
    <mergeCell ref="C18:C19"/>
    <mergeCell ref="C20:C21"/>
    <mergeCell ref="C23:C26"/>
    <mergeCell ref="C32:C39"/>
    <mergeCell ref="C41:C42"/>
    <mergeCell ref="C45:C47"/>
    <mergeCell ref="C50:C51"/>
    <mergeCell ref="C52:C55"/>
    <mergeCell ref="C61:C62"/>
    <mergeCell ref="C64:C68"/>
    <mergeCell ref="C70:C72"/>
    <mergeCell ref="C73:C75"/>
    <mergeCell ref="C76:C79"/>
    <mergeCell ref="C80:C81"/>
    <mergeCell ref="C85:C88"/>
    <mergeCell ref="C91:C92"/>
    <mergeCell ref="C95:C96"/>
    <mergeCell ref="C97:C99"/>
    <mergeCell ref="C100:C102"/>
    <mergeCell ref="C104:C106"/>
    <mergeCell ref="C107:C108"/>
    <mergeCell ref="C109:C111"/>
    <mergeCell ref="C112:C114"/>
    <mergeCell ref="C115:C116"/>
    <mergeCell ref="C120:C121"/>
    <mergeCell ref="C123:C124"/>
    <mergeCell ref="C125:C128"/>
    <mergeCell ref="C129:C130"/>
    <mergeCell ref="C135:C136"/>
    <mergeCell ref="C139:C140"/>
    <mergeCell ref="C146:C148"/>
    <mergeCell ref="C149:C151"/>
    <mergeCell ref="C153:C154"/>
    <mergeCell ref="C155:C156"/>
    <mergeCell ref="C160:C161"/>
    <mergeCell ref="C164:C167"/>
    <mergeCell ref="C169:C172"/>
    <mergeCell ref="C173:C174"/>
    <mergeCell ref="C176:C177"/>
    <mergeCell ref="C179:C181"/>
    <mergeCell ref="C182:C183"/>
    <mergeCell ref="C184:C185"/>
    <mergeCell ref="C191:C192"/>
    <mergeCell ref="C193:C194"/>
    <mergeCell ref="C196:C197"/>
    <mergeCell ref="C198:C201"/>
    <mergeCell ref="C204:C205"/>
    <mergeCell ref="C206:C207"/>
    <mergeCell ref="C209:C210"/>
    <mergeCell ref="C217:C218"/>
    <mergeCell ref="C222:C223"/>
    <mergeCell ref="C224:C225"/>
    <mergeCell ref="D4:D5"/>
    <mergeCell ref="D7:D8"/>
    <mergeCell ref="D10:D11"/>
    <mergeCell ref="D12:D13"/>
    <mergeCell ref="D14:D16"/>
    <mergeCell ref="D18:D19"/>
    <mergeCell ref="D20:D21"/>
    <mergeCell ref="D23:D26"/>
    <mergeCell ref="D32:D39"/>
    <mergeCell ref="D41:D42"/>
    <mergeCell ref="D45:D47"/>
    <mergeCell ref="D50:D51"/>
    <mergeCell ref="D52:D55"/>
    <mergeCell ref="D61:D62"/>
    <mergeCell ref="D64:D68"/>
    <mergeCell ref="D70:D72"/>
    <mergeCell ref="D73:D75"/>
    <mergeCell ref="D76:D79"/>
    <mergeCell ref="D80:D81"/>
    <mergeCell ref="D85:D88"/>
    <mergeCell ref="D91:D92"/>
    <mergeCell ref="D95:D96"/>
    <mergeCell ref="D97:D99"/>
    <mergeCell ref="D100:D102"/>
    <mergeCell ref="D104:D106"/>
    <mergeCell ref="D107:D108"/>
    <mergeCell ref="D109:D111"/>
    <mergeCell ref="D112:D114"/>
    <mergeCell ref="D115:D116"/>
    <mergeCell ref="D120:D121"/>
    <mergeCell ref="D123:D124"/>
    <mergeCell ref="D125:D128"/>
    <mergeCell ref="D129:D130"/>
    <mergeCell ref="D135:D136"/>
    <mergeCell ref="D139:D140"/>
    <mergeCell ref="D146:D148"/>
    <mergeCell ref="D149:D151"/>
    <mergeCell ref="D153:D154"/>
    <mergeCell ref="D155:D156"/>
    <mergeCell ref="D160:D161"/>
    <mergeCell ref="D164:D167"/>
    <mergeCell ref="D169:D172"/>
    <mergeCell ref="D173:D174"/>
    <mergeCell ref="D176:D177"/>
    <mergeCell ref="D179:D181"/>
    <mergeCell ref="D182:D183"/>
    <mergeCell ref="D184:D185"/>
    <mergeCell ref="D191:D192"/>
    <mergeCell ref="D193:D194"/>
    <mergeCell ref="D196:D197"/>
    <mergeCell ref="D198:D201"/>
    <mergeCell ref="D204:D205"/>
    <mergeCell ref="D206:D207"/>
    <mergeCell ref="D209:D210"/>
    <mergeCell ref="D217:D218"/>
    <mergeCell ref="D222:D223"/>
    <mergeCell ref="D224:D225"/>
    <mergeCell ref="E4:E5"/>
    <mergeCell ref="E7:E8"/>
    <mergeCell ref="E10:E11"/>
    <mergeCell ref="E12:E13"/>
    <mergeCell ref="E14:E16"/>
    <mergeCell ref="E18:E19"/>
    <mergeCell ref="E20:E21"/>
    <mergeCell ref="E23:E26"/>
    <mergeCell ref="E32:E39"/>
    <mergeCell ref="E41:E42"/>
    <mergeCell ref="E45:E47"/>
    <mergeCell ref="E50:E51"/>
    <mergeCell ref="E52:E55"/>
    <mergeCell ref="E61:E62"/>
    <mergeCell ref="E64:E68"/>
    <mergeCell ref="E70:E72"/>
    <mergeCell ref="E73:E75"/>
    <mergeCell ref="E76:E79"/>
    <mergeCell ref="E80:E81"/>
    <mergeCell ref="E85:E88"/>
    <mergeCell ref="E91:E92"/>
    <mergeCell ref="E95:E96"/>
    <mergeCell ref="E97:E99"/>
    <mergeCell ref="E100:E102"/>
    <mergeCell ref="E104:E106"/>
    <mergeCell ref="E107:E108"/>
    <mergeCell ref="E109:E111"/>
    <mergeCell ref="E112:E114"/>
    <mergeCell ref="E115:E116"/>
    <mergeCell ref="E120:E121"/>
    <mergeCell ref="E123:E124"/>
    <mergeCell ref="E125:E128"/>
    <mergeCell ref="E129:E130"/>
    <mergeCell ref="E135:E136"/>
    <mergeCell ref="E139:E140"/>
    <mergeCell ref="E146:E148"/>
    <mergeCell ref="E149:E151"/>
    <mergeCell ref="E153:E154"/>
    <mergeCell ref="E155:E156"/>
    <mergeCell ref="E160:E161"/>
    <mergeCell ref="E164:E167"/>
    <mergeCell ref="E169:E172"/>
    <mergeCell ref="E173:E174"/>
    <mergeCell ref="E176:E177"/>
    <mergeCell ref="E179:E181"/>
    <mergeCell ref="E182:E183"/>
    <mergeCell ref="E184:E185"/>
    <mergeCell ref="E191:E192"/>
    <mergeCell ref="E193:E194"/>
    <mergeCell ref="E196:E197"/>
    <mergeCell ref="E198:E201"/>
    <mergeCell ref="E204:E205"/>
    <mergeCell ref="E206:E207"/>
    <mergeCell ref="E209:E210"/>
    <mergeCell ref="E217:E218"/>
    <mergeCell ref="E222:E223"/>
    <mergeCell ref="E224:E225"/>
    <mergeCell ref="F135:F136"/>
    <mergeCell ref="F191:F192"/>
    <mergeCell ref="F224:F225"/>
    <mergeCell ref="G224:G225"/>
    <mergeCell ref="H224:H225"/>
    <mergeCell ref="I4:I5"/>
    <mergeCell ref="I7:I8"/>
    <mergeCell ref="I10:I11"/>
    <mergeCell ref="I12:I13"/>
    <mergeCell ref="I14:I16"/>
    <mergeCell ref="I18:I19"/>
    <mergeCell ref="I20:I21"/>
    <mergeCell ref="I23:I26"/>
    <mergeCell ref="I32:I39"/>
    <mergeCell ref="I41:I42"/>
    <mergeCell ref="I45:I47"/>
    <mergeCell ref="I50:I51"/>
    <mergeCell ref="I52:I55"/>
    <mergeCell ref="I61:I62"/>
    <mergeCell ref="I64:I68"/>
    <mergeCell ref="I70:I72"/>
    <mergeCell ref="I73:I75"/>
    <mergeCell ref="I76:I79"/>
    <mergeCell ref="I80:I81"/>
    <mergeCell ref="I85:I88"/>
    <mergeCell ref="I91:I92"/>
    <mergeCell ref="I95:I96"/>
    <mergeCell ref="I97:I99"/>
    <mergeCell ref="I100:I102"/>
    <mergeCell ref="I104:I106"/>
    <mergeCell ref="I107:I108"/>
    <mergeCell ref="I109:I111"/>
    <mergeCell ref="I112:I114"/>
    <mergeCell ref="I115:I116"/>
    <mergeCell ref="I120:I121"/>
    <mergeCell ref="I123:I124"/>
    <mergeCell ref="I125:I128"/>
    <mergeCell ref="I129:I130"/>
    <mergeCell ref="I135:I136"/>
    <mergeCell ref="I139:I140"/>
    <mergeCell ref="I146:I148"/>
    <mergeCell ref="I149:I151"/>
    <mergeCell ref="I153:I154"/>
    <mergeCell ref="I155:I156"/>
    <mergeCell ref="I160:I161"/>
    <mergeCell ref="I164:I167"/>
    <mergeCell ref="I169:I172"/>
    <mergeCell ref="I173:I174"/>
    <mergeCell ref="I176:I177"/>
    <mergeCell ref="I179:I181"/>
    <mergeCell ref="I182:I183"/>
    <mergeCell ref="I184:I185"/>
    <mergeCell ref="I191:I192"/>
    <mergeCell ref="I193:I194"/>
    <mergeCell ref="I196:I197"/>
    <mergeCell ref="I198:I201"/>
    <mergeCell ref="I204:I205"/>
    <mergeCell ref="I206:I207"/>
    <mergeCell ref="I209:I210"/>
    <mergeCell ref="I217:I218"/>
    <mergeCell ref="I222:I223"/>
    <mergeCell ref="I224:I225"/>
    <mergeCell ref="J4:J5"/>
    <mergeCell ref="J7:J8"/>
    <mergeCell ref="J10:J11"/>
    <mergeCell ref="J12:J13"/>
    <mergeCell ref="J14:J16"/>
    <mergeCell ref="J18:J19"/>
    <mergeCell ref="J23:J26"/>
    <mergeCell ref="J32:J39"/>
    <mergeCell ref="J41:J42"/>
    <mergeCell ref="J45:J47"/>
    <mergeCell ref="J50:J51"/>
    <mergeCell ref="J52:J55"/>
    <mergeCell ref="J61:J62"/>
    <mergeCell ref="J64:J68"/>
    <mergeCell ref="J70:J72"/>
    <mergeCell ref="J73:J75"/>
    <mergeCell ref="J76:J79"/>
    <mergeCell ref="J80:J81"/>
    <mergeCell ref="J85:J88"/>
    <mergeCell ref="J91:J92"/>
    <mergeCell ref="J95:J96"/>
    <mergeCell ref="J97:J99"/>
    <mergeCell ref="J100:J102"/>
    <mergeCell ref="J104:J106"/>
    <mergeCell ref="J107:J108"/>
    <mergeCell ref="J109:J111"/>
    <mergeCell ref="J112:J114"/>
    <mergeCell ref="J115:J116"/>
    <mergeCell ref="J120:J121"/>
    <mergeCell ref="J123:J124"/>
    <mergeCell ref="J125:J128"/>
    <mergeCell ref="J129:J130"/>
    <mergeCell ref="J135:J136"/>
    <mergeCell ref="J139:J140"/>
    <mergeCell ref="J146:J148"/>
    <mergeCell ref="J149:J151"/>
    <mergeCell ref="J153:J154"/>
    <mergeCell ref="J155:J156"/>
    <mergeCell ref="J160:J161"/>
    <mergeCell ref="J164:J167"/>
    <mergeCell ref="J169:J172"/>
    <mergeCell ref="J173:J174"/>
    <mergeCell ref="J176:J177"/>
    <mergeCell ref="J179:J181"/>
    <mergeCell ref="J182:J183"/>
    <mergeCell ref="J191:J192"/>
    <mergeCell ref="J193:J194"/>
    <mergeCell ref="J196:J197"/>
    <mergeCell ref="J198:J201"/>
    <mergeCell ref="J204:J205"/>
    <mergeCell ref="J206:J207"/>
    <mergeCell ref="J209:J210"/>
    <mergeCell ref="J217:J218"/>
    <mergeCell ref="J222:J223"/>
    <mergeCell ref="J224:J225"/>
    <mergeCell ref="M4:M5"/>
    <mergeCell ref="M7:M8"/>
    <mergeCell ref="M10:M11"/>
    <mergeCell ref="M12:M13"/>
    <mergeCell ref="M14:M16"/>
    <mergeCell ref="M18:M19"/>
    <mergeCell ref="M20:M21"/>
    <mergeCell ref="M23:M26"/>
    <mergeCell ref="M32:M39"/>
    <mergeCell ref="M41:M42"/>
    <mergeCell ref="M45:M47"/>
    <mergeCell ref="M50:M51"/>
    <mergeCell ref="M52:M55"/>
    <mergeCell ref="M61:M62"/>
    <mergeCell ref="M64:M68"/>
    <mergeCell ref="M70:M72"/>
    <mergeCell ref="M73:M75"/>
    <mergeCell ref="M76:M79"/>
    <mergeCell ref="M80:M81"/>
    <mergeCell ref="M85:M88"/>
    <mergeCell ref="M91:M92"/>
    <mergeCell ref="M95:M96"/>
    <mergeCell ref="M97:M99"/>
    <mergeCell ref="M100:M102"/>
    <mergeCell ref="M104:M106"/>
    <mergeCell ref="M107:M108"/>
    <mergeCell ref="M109:M111"/>
    <mergeCell ref="M112:M114"/>
    <mergeCell ref="M115:M116"/>
    <mergeCell ref="M120:M121"/>
    <mergeCell ref="M123:M124"/>
    <mergeCell ref="M125:M128"/>
    <mergeCell ref="M129:M130"/>
    <mergeCell ref="M135:M136"/>
    <mergeCell ref="M139:M140"/>
    <mergeCell ref="M146:M148"/>
    <mergeCell ref="M149:M151"/>
    <mergeCell ref="M153:M154"/>
    <mergeCell ref="M155:M156"/>
    <mergeCell ref="M160:M161"/>
    <mergeCell ref="M164:M167"/>
    <mergeCell ref="M169:M172"/>
    <mergeCell ref="M173:M174"/>
    <mergeCell ref="M176:M177"/>
    <mergeCell ref="M179:M181"/>
    <mergeCell ref="M182:M183"/>
    <mergeCell ref="M184:M185"/>
    <mergeCell ref="M191:M192"/>
    <mergeCell ref="M193:M194"/>
    <mergeCell ref="M196:M197"/>
    <mergeCell ref="M198:M201"/>
    <mergeCell ref="M204:M205"/>
    <mergeCell ref="M206:M207"/>
    <mergeCell ref="M209:M210"/>
    <mergeCell ref="M217:M218"/>
    <mergeCell ref="M222:M223"/>
    <mergeCell ref="M224:M225"/>
    <mergeCell ref="O129:O130"/>
    <mergeCell ref="O224:O225"/>
    <mergeCell ref="Q4:Q5"/>
    <mergeCell ref="Q7:Q8"/>
    <mergeCell ref="Q10:Q11"/>
    <mergeCell ref="Q12:Q13"/>
    <mergeCell ref="Q14:Q16"/>
    <mergeCell ref="Q18:Q19"/>
    <mergeCell ref="Q20:Q21"/>
    <mergeCell ref="Q23:Q26"/>
    <mergeCell ref="Q32:Q39"/>
    <mergeCell ref="Q41:Q42"/>
    <mergeCell ref="Q45:Q47"/>
    <mergeCell ref="Q50:Q51"/>
    <mergeCell ref="Q52:Q55"/>
    <mergeCell ref="Q61:Q62"/>
    <mergeCell ref="Q64:Q68"/>
    <mergeCell ref="Q70:Q72"/>
    <mergeCell ref="Q73:Q75"/>
    <mergeCell ref="Q76:Q79"/>
    <mergeCell ref="Q80:Q81"/>
    <mergeCell ref="Q85:Q88"/>
    <mergeCell ref="Q91:Q92"/>
    <mergeCell ref="Q95:Q96"/>
    <mergeCell ref="Q97:Q99"/>
    <mergeCell ref="Q100:Q102"/>
    <mergeCell ref="Q104:Q106"/>
    <mergeCell ref="Q107:Q108"/>
    <mergeCell ref="Q109:Q111"/>
    <mergeCell ref="Q112:Q114"/>
    <mergeCell ref="Q115:Q116"/>
    <mergeCell ref="Q120:Q121"/>
    <mergeCell ref="Q123:Q124"/>
    <mergeCell ref="Q125:Q128"/>
    <mergeCell ref="Q129:Q130"/>
    <mergeCell ref="Q135:Q136"/>
    <mergeCell ref="Q139:Q140"/>
    <mergeCell ref="Q146:Q148"/>
    <mergeCell ref="Q149:Q151"/>
    <mergeCell ref="Q153:Q154"/>
    <mergeCell ref="Q155:Q156"/>
    <mergeCell ref="Q160:Q161"/>
    <mergeCell ref="Q164:Q167"/>
    <mergeCell ref="Q169:Q172"/>
    <mergeCell ref="Q173:Q174"/>
    <mergeCell ref="Q176:Q177"/>
    <mergeCell ref="Q179:Q181"/>
    <mergeCell ref="Q182:Q183"/>
    <mergeCell ref="Q184:Q185"/>
    <mergeCell ref="Q191:Q192"/>
    <mergeCell ref="Q193:Q194"/>
    <mergeCell ref="Q196:Q197"/>
    <mergeCell ref="Q198:Q201"/>
    <mergeCell ref="Q204:Q205"/>
    <mergeCell ref="Q206:Q207"/>
    <mergeCell ref="Q209:Q210"/>
    <mergeCell ref="Q217:Q218"/>
    <mergeCell ref="Q222:Q223"/>
    <mergeCell ref="Q224:Q225"/>
    <mergeCell ref="R4:R5"/>
    <mergeCell ref="R7:R8"/>
    <mergeCell ref="R10:R11"/>
    <mergeCell ref="R12:R13"/>
    <mergeCell ref="R14:R16"/>
    <mergeCell ref="R18:R19"/>
    <mergeCell ref="R20:R21"/>
    <mergeCell ref="R23:R26"/>
    <mergeCell ref="R32:R39"/>
    <mergeCell ref="R41:R42"/>
    <mergeCell ref="R45:R47"/>
    <mergeCell ref="R50:R51"/>
    <mergeCell ref="R52:R55"/>
    <mergeCell ref="R61:R62"/>
    <mergeCell ref="R64:R68"/>
    <mergeCell ref="R70:R72"/>
    <mergeCell ref="R73:R75"/>
    <mergeCell ref="R76:R79"/>
    <mergeCell ref="R80:R81"/>
    <mergeCell ref="R85:R88"/>
    <mergeCell ref="R91:R92"/>
    <mergeCell ref="R95:R96"/>
    <mergeCell ref="R97:R99"/>
    <mergeCell ref="R100:R102"/>
    <mergeCell ref="R104:R106"/>
    <mergeCell ref="R107:R108"/>
    <mergeCell ref="R109:R111"/>
    <mergeCell ref="R112:R114"/>
    <mergeCell ref="R115:R116"/>
    <mergeCell ref="R120:R121"/>
    <mergeCell ref="R123:R124"/>
    <mergeCell ref="R125:R128"/>
    <mergeCell ref="R129:R130"/>
    <mergeCell ref="R135:R136"/>
    <mergeCell ref="R139:R140"/>
    <mergeCell ref="R146:R148"/>
    <mergeCell ref="R149:R151"/>
    <mergeCell ref="R153:R154"/>
    <mergeCell ref="R155:R156"/>
    <mergeCell ref="R160:R161"/>
    <mergeCell ref="R164:R167"/>
    <mergeCell ref="R169:R172"/>
    <mergeCell ref="R173:R174"/>
    <mergeCell ref="R176:R177"/>
    <mergeCell ref="R179:R181"/>
    <mergeCell ref="R182:R183"/>
    <mergeCell ref="R184:R185"/>
    <mergeCell ref="R191:R192"/>
    <mergeCell ref="R193:R194"/>
    <mergeCell ref="R196:R197"/>
    <mergeCell ref="R198:R201"/>
    <mergeCell ref="R204:R205"/>
    <mergeCell ref="R206:R207"/>
    <mergeCell ref="R209:R210"/>
    <mergeCell ref="R217:R218"/>
    <mergeCell ref="R222:R223"/>
    <mergeCell ref="R224:R225"/>
    <mergeCell ref="S4:S5"/>
    <mergeCell ref="S7:S8"/>
    <mergeCell ref="S10:S11"/>
    <mergeCell ref="S12:S13"/>
    <mergeCell ref="S14:S16"/>
    <mergeCell ref="S18:S19"/>
    <mergeCell ref="S20:S21"/>
    <mergeCell ref="S23:S26"/>
    <mergeCell ref="S32:S39"/>
    <mergeCell ref="S41:S42"/>
    <mergeCell ref="S45:S47"/>
    <mergeCell ref="S50:S51"/>
    <mergeCell ref="S52:S55"/>
    <mergeCell ref="S61:S62"/>
    <mergeCell ref="S64:S68"/>
    <mergeCell ref="S70:S72"/>
    <mergeCell ref="S73:S75"/>
    <mergeCell ref="S76:S79"/>
    <mergeCell ref="S80:S81"/>
    <mergeCell ref="S85:S88"/>
    <mergeCell ref="S91:S92"/>
    <mergeCell ref="S95:S96"/>
    <mergeCell ref="S97:S99"/>
    <mergeCell ref="S100:S102"/>
    <mergeCell ref="S104:S106"/>
    <mergeCell ref="S107:S108"/>
    <mergeCell ref="S109:S111"/>
    <mergeCell ref="S112:S114"/>
    <mergeCell ref="S115:S116"/>
    <mergeCell ref="S120:S121"/>
    <mergeCell ref="S123:S124"/>
    <mergeCell ref="S125:S128"/>
    <mergeCell ref="S129:S130"/>
    <mergeCell ref="S135:S136"/>
    <mergeCell ref="S139:S140"/>
    <mergeCell ref="S146:S148"/>
    <mergeCell ref="S149:S151"/>
    <mergeCell ref="S153:S154"/>
    <mergeCell ref="S155:S156"/>
    <mergeCell ref="S160:S161"/>
    <mergeCell ref="S164:S167"/>
    <mergeCell ref="S169:S172"/>
    <mergeCell ref="S173:S174"/>
    <mergeCell ref="S176:S177"/>
    <mergeCell ref="S179:S181"/>
    <mergeCell ref="S182:S183"/>
    <mergeCell ref="S184:S185"/>
    <mergeCell ref="S191:S192"/>
    <mergeCell ref="S193:S194"/>
    <mergeCell ref="S196:S197"/>
    <mergeCell ref="S198:S201"/>
    <mergeCell ref="S204:S205"/>
    <mergeCell ref="S206:S207"/>
    <mergeCell ref="S209:S210"/>
    <mergeCell ref="S217:S218"/>
    <mergeCell ref="S222:S223"/>
    <mergeCell ref="S224:S225"/>
    <mergeCell ref="T4:T5"/>
    <mergeCell ref="T7:T8"/>
    <mergeCell ref="T10:T11"/>
    <mergeCell ref="T12:T13"/>
    <mergeCell ref="T14:T16"/>
    <mergeCell ref="T18:T19"/>
    <mergeCell ref="T20:T21"/>
    <mergeCell ref="T23:T26"/>
    <mergeCell ref="T32:T39"/>
    <mergeCell ref="T41:T42"/>
    <mergeCell ref="T45:T47"/>
    <mergeCell ref="T50:T51"/>
    <mergeCell ref="T52:T55"/>
    <mergeCell ref="T61:T62"/>
    <mergeCell ref="T64:T68"/>
    <mergeCell ref="T70:T72"/>
    <mergeCell ref="T73:T75"/>
    <mergeCell ref="T76:T79"/>
    <mergeCell ref="T80:T81"/>
    <mergeCell ref="T85:T88"/>
    <mergeCell ref="T91:T92"/>
    <mergeCell ref="T95:T96"/>
    <mergeCell ref="T97:T99"/>
    <mergeCell ref="T100:T102"/>
    <mergeCell ref="T104:T106"/>
    <mergeCell ref="T107:T108"/>
    <mergeCell ref="T109:T111"/>
    <mergeCell ref="T112:T114"/>
    <mergeCell ref="T115:T116"/>
    <mergeCell ref="T120:T121"/>
    <mergeCell ref="T123:T124"/>
    <mergeCell ref="T125:T128"/>
    <mergeCell ref="T129:T130"/>
    <mergeCell ref="T135:T136"/>
    <mergeCell ref="T139:T140"/>
    <mergeCell ref="T146:T148"/>
    <mergeCell ref="T149:T151"/>
    <mergeCell ref="T153:T154"/>
    <mergeCell ref="T155:T156"/>
    <mergeCell ref="T160:T161"/>
    <mergeCell ref="T164:T167"/>
    <mergeCell ref="T169:T172"/>
    <mergeCell ref="T173:T174"/>
    <mergeCell ref="T176:T177"/>
    <mergeCell ref="T179:T181"/>
    <mergeCell ref="T182:T183"/>
    <mergeCell ref="T184:T185"/>
    <mergeCell ref="T191:T192"/>
    <mergeCell ref="T193:T194"/>
    <mergeCell ref="T196:T197"/>
    <mergeCell ref="T198:T201"/>
    <mergeCell ref="T204:T205"/>
    <mergeCell ref="T206:T207"/>
    <mergeCell ref="T209:T210"/>
    <mergeCell ref="T217:T218"/>
    <mergeCell ref="T222:T223"/>
    <mergeCell ref="T224:T225"/>
    <mergeCell ref="U4:U5"/>
    <mergeCell ref="U7:U8"/>
    <mergeCell ref="U10:U11"/>
    <mergeCell ref="U12:U13"/>
    <mergeCell ref="U14:U16"/>
    <mergeCell ref="U18:U19"/>
    <mergeCell ref="U20:U21"/>
    <mergeCell ref="U23:U26"/>
    <mergeCell ref="U32:U39"/>
    <mergeCell ref="U41:U42"/>
    <mergeCell ref="U45:U47"/>
    <mergeCell ref="U50:U51"/>
    <mergeCell ref="U52:U55"/>
    <mergeCell ref="U61:U62"/>
    <mergeCell ref="U64:U68"/>
    <mergeCell ref="U70:U72"/>
    <mergeCell ref="U73:U75"/>
    <mergeCell ref="U76:U79"/>
    <mergeCell ref="U80:U81"/>
    <mergeCell ref="U85:U88"/>
    <mergeCell ref="U91:U92"/>
    <mergeCell ref="U95:U96"/>
    <mergeCell ref="U97:U99"/>
    <mergeCell ref="U100:U102"/>
    <mergeCell ref="U104:U106"/>
    <mergeCell ref="U107:U108"/>
    <mergeCell ref="U109:U111"/>
    <mergeCell ref="U112:U114"/>
    <mergeCell ref="U115:U116"/>
    <mergeCell ref="U120:U121"/>
    <mergeCell ref="U123:U124"/>
    <mergeCell ref="U125:U128"/>
    <mergeCell ref="U129:U130"/>
    <mergeCell ref="U135:U136"/>
    <mergeCell ref="U139:U140"/>
    <mergeCell ref="U146:U148"/>
    <mergeCell ref="U149:U151"/>
    <mergeCell ref="U153:U154"/>
    <mergeCell ref="U155:U156"/>
    <mergeCell ref="U160:U161"/>
    <mergeCell ref="U164:U167"/>
    <mergeCell ref="U169:U172"/>
    <mergeCell ref="U173:U174"/>
    <mergeCell ref="U176:U177"/>
    <mergeCell ref="U179:U181"/>
    <mergeCell ref="U182:U183"/>
    <mergeCell ref="U184:U185"/>
    <mergeCell ref="U191:U192"/>
    <mergeCell ref="U193:U194"/>
    <mergeCell ref="U196:U197"/>
    <mergeCell ref="U198:U201"/>
    <mergeCell ref="U204:U205"/>
    <mergeCell ref="U206:U207"/>
    <mergeCell ref="U209:U210"/>
    <mergeCell ref="U217:U218"/>
    <mergeCell ref="U222:U223"/>
    <mergeCell ref="U224:U225"/>
  </mergeCells>
  <conditionalFormatting sqref="R2">
    <cfRule type="duplicateValues" dxfId="0" priority="3"/>
  </conditionalFormatting>
  <conditionalFormatting sqref="F124">
    <cfRule type="notContainsBlanks" dxfId="1" priority="8">
      <formula>LEN(TRIM(F124))&gt;0</formula>
    </cfRule>
  </conditionalFormatting>
  <conditionalFormatting sqref="B224:D224">
    <cfRule type="duplicateValues" dxfId="0" priority="2"/>
  </conditionalFormatting>
  <conditionalFormatting sqref="B226:D226">
    <cfRule type="duplicateValues" dxfId="0" priority="1"/>
  </conditionalFormatting>
  <conditionalFormatting sqref="K97:K99">
    <cfRule type="notContainsBlanks" dxfId="1" priority="5">
      <formula>LEN(TRIM(K97))&gt;0</formula>
    </cfRule>
  </conditionalFormatting>
  <conditionalFormatting sqref="P93:P108">
    <cfRule type="notContainsBlanks" dxfId="1" priority="11">
      <formula>LEN(TRIM(P93))&gt;0</formula>
    </cfRule>
  </conditionalFormatting>
  <conditionalFormatting sqref="A2:Q2 S2:T2">
    <cfRule type="duplicateValues" dxfId="0" priority="6"/>
  </conditionalFormatting>
  <conditionalFormatting sqref="P34:P47 K34:L47 C40:D41 F34:G47 C43:D45 F125 C125:D125">
    <cfRule type="notContainsBlanks" dxfId="1" priority="13">
      <formula>LEN(TRIM(C34))&gt;0</formula>
    </cfRule>
  </conditionalFormatting>
  <conditionalFormatting sqref="G61 K61:L61 P61:P62">
    <cfRule type="notContainsBlanks" dxfId="1" priority="9">
      <formula>LEN(TRIM(G61))&gt;0</formula>
    </cfRule>
  </conditionalFormatting>
  <conditionalFormatting sqref="C93:D93 C95:D95 C94 C100:E100 C97:E97 C103:E104 C107:E107 K93:K96 F93:G96 F100:G108 K100:K108">
    <cfRule type="notContainsBlanks" dxfId="1" priority="12">
      <formula>LEN(TRIM(C93))&gt;0</formula>
    </cfRule>
  </conditionalFormatting>
  <conditionalFormatting sqref="F97:G99">
    <cfRule type="notContainsBlanks" dxfId="1" priority="4">
      <formula>LEN(TRIM(F97))&gt;0</formula>
    </cfRule>
  </conditionalFormatting>
  <conditionalFormatting sqref="C112:D112 C117:D120 C122:D123 F122:G123 C115:D115 F109:G111 F113:F119 K109:K123 G112:G121 F126:G128 F121 K126:K128 P109:P128">
    <cfRule type="notContainsBlanks" dxfId="1" priority="10">
      <formula>LEN(TRIM(C109))&gt;0</formula>
    </cfRule>
  </conditionalFormatting>
  <conditionalFormatting sqref="G124:G125 K124:K125">
    <cfRule type="notContainsBlanks" dxfId="1" priority="7">
      <formula>LEN(TRIM(G124))&gt;0</formula>
    </cfRule>
  </conditionalFormatting>
  <conditionalFormatting sqref="B131:B135 B219:B222 B211:B217 B250:B1048576 B229:B242 B208:B209 B198 B195:B196 B193 B206 B202:B204 B173 B175:B176 B178:B180 B182 B184 B186:B191 B168:B171 B162:B164 B157:B160 B155 B152:B153 B149:B150 B129 B137:B139 B141:B146">
    <cfRule type="duplicateValues" dxfId="0" priority="14"/>
  </conditionalFormatting>
  <pageMargins left="0.751388888888889" right="0.751388888888889" top="1" bottom="1" header="0.5" footer="0.5"/>
  <pageSetup paperSize="8" scale="28" fitToHeight="0" orientation="landscape"/>
  <headerFooter/>
  <rowBreaks count="10" manualBreakCount="10">
    <brk id="31" max="16383" man="1"/>
    <brk id="81" max="16383" man="1"/>
    <brk id="114" max="16383" man="1"/>
    <brk id="134" max="16383" man="1"/>
    <brk id="154" max="16383" man="1"/>
    <brk id="172" max="16383" man="1"/>
    <brk id="183" max="16383" man="1"/>
    <brk id="230" max="16383" man="1"/>
    <brk id="230" max="16383" man="1"/>
    <brk id="231" max="16383" man="1"/>
  </rowBreaks>
  <pictur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250"/>
  <sheetViews>
    <sheetView view="pageBreakPreview" zoomScale="60" zoomScaleNormal="55" workbookViewId="0">
      <pane xSplit="2" ySplit="2" topLeftCell="C227" activePane="bottomRight" state="frozen"/>
      <selection/>
      <selection pane="topRight"/>
      <selection pane="bottomLeft"/>
      <selection pane="bottomRight" activeCell="V225" sqref="V225"/>
    </sheetView>
  </sheetViews>
  <sheetFormatPr defaultColWidth="8.66666666666667" defaultRowHeight="16.5"/>
  <cols>
    <col min="1" max="1" width="7.13333333333333" style="5" customWidth="1"/>
    <col min="2" max="2" width="15.9333333333333" style="5" customWidth="1"/>
    <col min="3" max="3" width="25.2" style="5" customWidth="1"/>
    <col min="4" max="4" width="12.6666666666667" style="5" customWidth="1"/>
    <col min="5" max="5" width="18.4666666666667" style="5" customWidth="1"/>
    <col min="6" max="6" width="32.1333333333333" style="5" customWidth="1"/>
    <col min="7" max="7" width="13.6" style="5" customWidth="1"/>
    <col min="8" max="8" width="26.4" style="5" customWidth="1"/>
    <col min="9" max="9" width="18.0666666666667" style="6" customWidth="1"/>
    <col min="10" max="10" width="12.1333333333333" style="6" customWidth="1"/>
    <col min="11" max="11" width="26.9333333333333" style="6" customWidth="1"/>
    <col min="12" max="13" width="13.6666666666667" style="6" customWidth="1"/>
    <col min="14" max="14" width="22.2666666666667" style="6" customWidth="1"/>
    <col min="15" max="15" width="13.6666666666667" style="6" customWidth="1"/>
    <col min="16" max="17" width="18.8" style="6" customWidth="1"/>
    <col min="18" max="20" width="100.733333333333" style="7" customWidth="1"/>
    <col min="21" max="21" width="36.9333333333333" style="8" customWidth="1"/>
    <col min="22" max="16384" width="8.66666666666667" style="3"/>
  </cols>
  <sheetData>
    <row r="1" s="1" customFormat="1" ht="88" customHeight="1" spans="1:21">
      <c r="A1" s="9" t="s">
        <v>132</v>
      </c>
      <c r="B1" s="9"/>
      <c r="C1" s="9"/>
      <c r="D1" s="9"/>
      <c r="E1" s="9"/>
      <c r="F1" s="9"/>
      <c r="G1" s="9"/>
      <c r="H1" s="9"/>
      <c r="I1" s="9"/>
      <c r="J1" s="9"/>
      <c r="K1" s="9"/>
      <c r="L1" s="9"/>
      <c r="M1" s="9"/>
      <c r="N1" s="9"/>
      <c r="O1" s="9"/>
      <c r="P1" s="9"/>
      <c r="Q1" s="9"/>
      <c r="R1" s="36"/>
      <c r="S1" s="36"/>
      <c r="T1" s="36"/>
      <c r="U1" s="36"/>
    </row>
    <row r="2" s="2" customFormat="1" ht="106.05" customHeight="1" spans="1:21">
      <c r="A2" s="10" t="s">
        <v>1</v>
      </c>
      <c r="B2" s="10" t="s">
        <v>2</v>
      </c>
      <c r="C2" s="10" t="s">
        <v>133</v>
      </c>
      <c r="D2" s="10" t="s">
        <v>134</v>
      </c>
      <c r="E2" s="10" t="s">
        <v>135</v>
      </c>
      <c r="F2" s="10" t="s">
        <v>136</v>
      </c>
      <c r="G2" s="10" t="s">
        <v>137</v>
      </c>
      <c r="H2" s="10" t="s">
        <v>138</v>
      </c>
      <c r="I2" s="10" t="s">
        <v>139</v>
      </c>
      <c r="J2" s="10" t="s">
        <v>140</v>
      </c>
      <c r="K2" s="10" t="s">
        <v>141</v>
      </c>
      <c r="L2" s="10" t="s">
        <v>142</v>
      </c>
      <c r="M2" s="10" t="s">
        <v>143</v>
      </c>
      <c r="N2" s="10" t="s">
        <v>144</v>
      </c>
      <c r="O2" s="10" t="s">
        <v>145</v>
      </c>
      <c r="P2" s="10" t="s">
        <v>146</v>
      </c>
      <c r="Q2" s="10" t="s">
        <v>147</v>
      </c>
      <c r="R2" s="10" t="s">
        <v>148</v>
      </c>
      <c r="S2" s="10" t="s">
        <v>149</v>
      </c>
      <c r="T2" s="10" t="s">
        <v>150</v>
      </c>
      <c r="U2" s="10" t="s">
        <v>151</v>
      </c>
    </row>
    <row r="3" s="2" customFormat="1" ht="300" customHeight="1" spans="1:21">
      <c r="A3" s="11">
        <v>1</v>
      </c>
      <c r="B3" s="11" t="s">
        <v>4</v>
      </c>
      <c r="C3" s="11" t="s">
        <v>152</v>
      </c>
      <c r="D3" s="11" t="s">
        <v>153</v>
      </c>
      <c r="E3" s="11" t="s">
        <v>154</v>
      </c>
      <c r="F3" s="11" t="s">
        <v>155</v>
      </c>
      <c r="G3" s="16">
        <v>8</v>
      </c>
      <c r="H3" s="11" t="s">
        <v>156</v>
      </c>
      <c r="I3" s="27" t="s">
        <v>157</v>
      </c>
      <c r="J3" s="28">
        <v>0</v>
      </c>
      <c r="K3" s="19" t="s">
        <v>158</v>
      </c>
      <c r="L3" s="16">
        <v>3.61290322580645</v>
      </c>
      <c r="M3" s="28">
        <v>3.61290322580645</v>
      </c>
      <c r="N3" s="28">
        <v>147.46</v>
      </c>
      <c r="O3" s="28">
        <v>60</v>
      </c>
      <c r="P3" s="58">
        <v>1734.1935483871</v>
      </c>
      <c r="Q3" s="61">
        <v>1734</v>
      </c>
      <c r="R3" s="38" t="s">
        <v>159</v>
      </c>
      <c r="S3" s="38" t="s">
        <v>160</v>
      </c>
      <c r="T3" s="38" t="s">
        <v>159</v>
      </c>
      <c r="U3" s="38" t="s">
        <v>161</v>
      </c>
    </row>
    <row r="4" s="2" customFormat="1" ht="150" customHeight="1" spans="1:21">
      <c r="A4" s="11">
        <v>3</v>
      </c>
      <c r="B4" s="11" t="s">
        <v>5</v>
      </c>
      <c r="C4" s="12" t="s">
        <v>162</v>
      </c>
      <c r="D4" s="13" t="s">
        <v>163</v>
      </c>
      <c r="E4" s="17" t="s">
        <v>154</v>
      </c>
      <c r="F4" s="11" t="s">
        <v>164</v>
      </c>
      <c r="G4" s="16">
        <v>10</v>
      </c>
      <c r="H4" s="11" t="s">
        <v>165</v>
      </c>
      <c r="I4" s="27" t="s">
        <v>157</v>
      </c>
      <c r="J4" s="28">
        <v>0</v>
      </c>
      <c r="K4" s="19" t="s">
        <v>165</v>
      </c>
      <c r="L4" s="16">
        <v>12</v>
      </c>
      <c r="M4" s="28">
        <v>18.1935483870968</v>
      </c>
      <c r="N4" s="28">
        <v>109</v>
      </c>
      <c r="O4" s="28">
        <f>N4*0.5</f>
        <v>54.5</v>
      </c>
      <c r="P4" s="58">
        <v>6540</v>
      </c>
      <c r="Q4" s="61">
        <v>9915</v>
      </c>
      <c r="R4" s="38" t="s">
        <v>166</v>
      </c>
      <c r="S4" s="38" t="s">
        <v>167</v>
      </c>
      <c r="T4" s="38" t="s">
        <v>166</v>
      </c>
      <c r="U4" s="38" t="s">
        <v>168</v>
      </c>
    </row>
    <row r="5" s="2" customFormat="1" ht="150" customHeight="1" spans="1:21">
      <c r="A5" s="11"/>
      <c r="B5" s="11"/>
      <c r="C5" s="12"/>
      <c r="D5" s="13"/>
      <c r="E5" s="18"/>
      <c r="F5" s="11" t="s">
        <v>169</v>
      </c>
      <c r="G5" s="16">
        <v>10</v>
      </c>
      <c r="H5" s="11" t="s">
        <v>170</v>
      </c>
      <c r="I5" s="27"/>
      <c r="J5" s="28"/>
      <c r="K5" s="19" t="s">
        <v>171</v>
      </c>
      <c r="L5" s="16">
        <v>6.19354838709677</v>
      </c>
      <c r="M5" s="28"/>
      <c r="N5" s="28">
        <v>109</v>
      </c>
      <c r="O5" s="28">
        <f>N5*0.5</f>
        <v>54.5</v>
      </c>
      <c r="P5" s="58">
        <v>3375.48387096774</v>
      </c>
      <c r="Q5" s="61"/>
      <c r="R5" s="38"/>
      <c r="S5" s="38"/>
      <c r="T5" s="38"/>
      <c r="U5" s="38"/>
    </row>
    <row r="6" s="2" customFormat="1" ht="150" customHeight="1" spans="1:21">
      <c r="A6" s="11">
        <v>4</v>
      </c>
      <c r="B6" s="11" t="s">
        <v>6</v>
      </c>
      <c r="C6" s="11" t="s">
        <v>172</v>
      </c>
      <c r="D6" s="13" t="s">
        <v>173</v>
      </c>
      <c r="E6" s="17" t="s">
        <v>154</v>
      </c>
      <c r="F6" s="11" t="s">
        <v>174</v>
      </c>
      <c r="G6" s="16">
        <v>90</v>
      </c>
      <c r="H6" s="11" t="s">
        <v>175</v>
      </c>
      <c r="I6" s="27" t="s">
        <v>157</v>
      </c>
      <c r="J6" s="28">
        <v>0</v>
      </c>
      <c r="K6" s="19" t="s">
        <v>175</v>
      </c>
      <c r="L6" s="16">
        <v>12</v>
      </c>
      <c r="M6" s="28">
        <v>19.3666666666667</v>
      </c>
      <c r="N6" s="28">
        <v>209.844444444444</v>
      </c>
      <c r="O6" s="28">
        <v>60</v>
      </c>
      <c r="P6" s="58">
        <v>64800</v>
      </c>
      <c r="Q6" s="62">
        <f>P6</f>
        <v>64800</v>
      </c>
      <c r="R6" s="38" t="s">
        <v>1104</v>
      </c>
      <c r="S6" s="38" t="s">
        <v>1105</v>
      </c>
      <c r="T6" s="38" t="s">
        <v>1104</v>
      </c>
      <c r="U6" s="38" t="s">
        <v>1106</v>
      </c>
    </row>
    <row r="7" s="2" customFormat="1" ht="150" customHeight="1" spans="1:21">
      <c r="A7" s="11">
        <v>5</v>
      </c>
      <c r="B7" s="11" t="s">
        <v>7</v>
      </c>
      <c r="C7" s="12" t="s">
        <v>179</v>
      </c>
      <c r="D7" s="13" t="s">
        <v>180</v>
      </c>
      <c r="E7" s="17" t="s">
        <v>154</v>
      </c>
      <c r="F7" s="11" t="s">
        <v>181</v>
      </c>
      <c r="G7" s="16">
        <v>40</v>
      </c>
      <c r="H7" s="11" t="s">
        <v>182</v>
      </c>
      <c r="I7" s="27" t="s">
        <v>157</v>
      </c>
      <c r="J7" s="28">
        <v>0</v>
      </c>
      <c r="K7" s="19" t="s">
        <v>183</v>
      </c>
      <c r="L7" s="16">
        <v>6</v>
      </c>
      <c r="M7" s="28">
        <v>13.5333333333333</v>
      </c>
      <c r="N7" s="28">
        <v>210</v>
      </c>
      <c r="O7" s="28">
        <v>60</v>
      </c>
      <c r="P7" s="58">
        <v>14400</v>
      </c>
      <c r="Q7" s="61">
        <v>16660</v>
      </c>
      <c r="R7" s="38" t="s">
        <v>184</v>
      </c>
      <c r="S7" s="38" t="s">
        <v>185</v>
      </c>
      <c r="T7" s="38" t="s">
        <v>184</v>
      </c>
      <c r="U7" s="38" t="s">
        <v>186</v>
      </c>
    </row>
    <row r="8" s="2" customFormat="1" ht="150" customHeight="1" spans="1:21">
      <c r="A8" s="11"/>
      <c r="B8" s="11"/>
      <c r="C8" s="12"/>
      <c r="D8" s="13"/>
      <c r="E8" s="18"/>
      <c r="F8" s="11" t="s">
        <v>187</v>
      </c>
      <c r="G8" s="16">
        <v>5</v>
      </c>
      <c r="H8" s="11" t="s">
        <v>188</v>
      </c>
      <c r="I8" s="27"/>
      <c r="J8" s="28"/>
      <c r="K8" s="19" t="s">
        <v>189</v>
      </c>
      <c r="L8" s="16">
        <v>7.53333333333333</v>
      </c>
      <c r="M8" s="28"/>
      <c r="N8" s="28">
        <v>280</v>
      </c>
      <c r="O8" s="28">
        <v>60</v>
      </c>
      <c r="P8" s="58">
        <v>2260</v>
      </c>
      <c r="Q8" s="61"/>
      <c r="R8" s="38"/>
      <c r="S8" s="38"/>
      <c r="T8" s="38"/>
      <c r="U8" s="38"/>
    </row>
    <row r="9" s="2" customFormat="1" ht="300" customHeight="1" spans="1:21">
      <c r="A9" s="11">
        <v>6</v>
      </c>
      <c r="B9" s="11" t="s">
        <v>8</v>
      </c>
      <c r="C9" s="12" t="s">
        <v>190</v>
      </c>
      <c r="D9" s="13" t="s">
        <v>191</v>
      </c>
      <c r="E9" s="13" t="s">
        <v>154</v>
      </c>
      <c r="F9" s="11" t="s">
        <v>192</v>
      </c>
      <c r="G9" s="16">
        <v>10</v>
      </c>
      <c r="H9" s="11" t="s">
        <v>193</v>
      </c>
      <c r="I9" s="27" t="s">
        <v>157</v>
      </c>
      <c r="J9" s="28">
        <v>0</v>
      </c>
      <c r="K9" s="19" t="s">
        <v>194</v>
      </c>
      <c r="L9" s="16">
        <v>10.9677419354839</v>
      </c>
      <c r="M9" s="28">
        <v>10.9677419354839</v>
      </c>
      <c r="N9" s="28">
        <v>150</v>
      </c>
      <c r="O9" s="28">
        <v>60</v>
      </c>
      <c r="P9" s="58">
        <v>6580.64516129032</v>
      </c>
      <c r="Q9" s="61">
        <v>6580</v>
      </c>
      <c r="R9" s="38" t="s">
        <v>195</v>
      </c>
      <c r="S9" s="38" t="s">
        <v>196</v>
      </c>
      <c r="T9" s="38" t="s">
        <v>195</v>
      </c>
      <c r="U9" s="38" t="s">
        <v>197</v>
      </c>
    </row>
    <row r="10" s="2" customFormat="1" ht="150" customHeight="1" spans="1:21">
      <c r="A10" s="11">
        <v>7</v>
      </c>
      <c r="B10" s="11" t="s">
        <v>9</v>
      </c>
      <c r="C10" s="12" t="s">
        <v>198</v>
      </c>
      <c r="D10" s="13" t="s">
        <v>199</v>
      </c>
      <c r="E10" s="17" t="s">
        <v>154</v>
      </c>
      <c r="F10" s="11" t="s">
        <v>200</v>
      </c>
      <c r="G10" s="16">
        <v>21</v>
      </c>
      <c r="H10" s="11" t="s">
        <v>201</v>
      </c>
      <c r="I10" s="27" t="s">
        <v>157</v>
      </c>
      <c r="J10" s="28">
        <v>0</v>
      </c>
      <c r="K10" s="19" t="s">
        <v>201</v>
      </c>
      <c r="L10" s="16">
        <v>6.1494623655914</v>
      </c>
      <c r="M10" s="28">
        <v>12.6333333333333</v>
      </c>
      <c r="N10" s="28">
        <v>87.42</v>
      </c>
      <c r="O10" s="28">
        <f>N10*0.5</f>
        <v>43.71</v>
      </c>
      <c r="P10" s="58">
        <v>5644.653</v>
      </c>
      <c r="Q10" s="61">
        <v>11774</v>
      </c>
      <c r="R10" s="38" t="s">
        <v>202</v>
      </c>
      <c r="S10" s="38" t="s">
        <v>203</v>
      </c>
      <c r="T10" s="38" t="s">
        <v>202</v>
      </c>
      <c r="U10" s="38" t="s">
        <v>204</v>
      </c>
    </row>
    <row r="11" s="2" customFormat="1" ht="150" customHeight="1" spans="1:21">
      <c r="A11" s="11"/>
      <c r="B11" s="11"/>
      <c r="C11" s="12"/>
      <c r="D11" s="13"/>
      <c r="E11" s="18"/>
      <c r="F11" s="11" t="s">
        <v>200</v>
      </c>
      <c r="G11" s="16">
        <v>21</v>
      </c>
      <c r="H11" s="11" t="s">
        <v>205</v>
      </c>
      <c r="I11" s="27"/>
      <c r="J11" s="28"/>
      <c r="K11" s="19" t="s">
        <v>206</v>
      </c>
      <c r="L11" s="16">
        <v>6.48387096774194</v>
      </c>
      <c r="M11" s="28"/>
      <c r="N11" s="28">
        <v>90.04</v>
      </c>
      <c r="O11" s="28">
        <f>N11*0.5</f>
        <v>45.02</v>
      </c>
      <c r="P11" s="58">
        <v>6129.98129032258</v>
      </c>
      <c r="Q11" s="61"/>
      <c r="R11" s="38"/>
      <c r="S11" s="38"/>
      <c r="T11" s="38"/>
      <c r="U11" s="38"/>
    </row>
    <row r="12" s="2" customFormat="1" ht="150" customHeight="1" spans="1:21">
      <c r="A12" s="11">
        <v>8</v>
      </c>
      <c r="B12" s="11" t="s">
        <v>10</v>
      </c>
      <c r="C12" s="12" t="s">
        <v>207</v>
      </c>
      <c r="D12" s="13" t="s">
        <v>208</v>
      </c>
      <c r="E12" s="17" t="s">
        <v>154</v>
      </c>
      <c r="F12" s="11" t="s">
        <v>209</v>
      </c>
      <c r="G12" s="16">
        <v>5</v>
      </c>
      <c r="H12" s="11" t="s">
        <v>210</v>
      </c>
      <c r="I12" s="27" t="s">
        <v>157</v>
      </c>
      <c r="J12" s="28">
        <v>0</v>
      </c>
      <c r="K12" s="19" t="s">
        <v>210</v>
      </c>
      <c r="L12" s="16">
        <v>12</v>
      </c>
      <c r="M12" s="28">
        <v>16.3448275862069</v>
      </c>
      <c r="N12" s="28">
        <v>233.55</v>
      </c>
      <c r="O12" s="28">
        <v>60</v>
      </c>
      <c r="P12" s="58">
        <v>3600</v>
      </c>
      <c r="Q12" s="61">
        <v>4903</v>
      </c>
      <c r="R12" s="38" t="s">
        <v>211</v>
      </c>
      <c r="S12" s="38" t="s">
        <v>212</v>
      </c>
      <c r="T12" s="38" t="s">
        <v>211</v>
      </c>
      <c r="U12" s="38" t="s">
        <v>213</v>
      </c>
    </row>
    <row r="13" s="2" customFormat="1" ht="150" customHeight="1" spans="1:21">
      <c r="A13" s="11"/>
      <c r="B13" s="11"/>
      <c r="C13" s="12"/>
      <c r="D13" s="13"/>
      <c r="E13" s="18"/>
      <c r="F13" s="11" t="s">
        <v>214</v>
      </c>
      <c r="G13" s="16">
        <v>5</v>
      </c>
      <c r="H13" s="11" t="s">
        <v>215</v>
      </c>
      <c r="I13" s="27"/>
      <c r="J13" s="28"/>
      <c r="K13" s="19" t="s">
        <v>216</v>
      </c>
      <c r="L13" s="16">
        <v>4.3448275862069</v>
      </c>
      <c r="M13" s="28"/>
      <c r="N13" s="28">
        <v>218</v>
      </c>
      <c r="O13" s="28">
        <v>60</v>
      </c>
      <c r="P13" s="58">
        <v>1303.44827586207</v>
      </c>
      <c r="Q13" s="61"/>
      <c r="R13" s="38"/>
      <c r="S13" s="38"/>
      <c r="T13" s="38"/>
      <c r="U13" s="38"/>
    </row>
    <row r="14" s="2" customFormat="1" ht="100.05" customHeight="1" spans="1:21">
      <c r="A14" s="11">
        <v>10</v>
      </c>
      <c r="B14" s="14" t="s">
        <v>11</v>
      </c>
      <c r="C14" s="14" t="s">
        <v>217</v>
      </c>
      <c r="D14" s="14" t="s">
        <v>218</v>
      </c>
      <c r="E14" s="17" t="s">
        <v>154</v>
      </c>
      <c r="F14" s="14" t="s">
        <v>219</v>
      </c>
      <c r="G14" s="19">
        <v>60</v>
      </c>
      <c r="H14" s="11" t="s">
        <v>182</v>
      </c>
      <c r="I14" s="27" t="s">
        <v>220</v>
      </c>
      <c r="J14" s="28">
        <v>7.53333333333333</v>
      </c>
      <c r="K14" s="19" t="s">
        <v>221</v>
      </c>
      <c r="L14" s="16">
        <v>4.46666666666667</v>
      </c>
      <c r="M14" s="28">
        <v>19.5333333333333</v>
      </c>
      <c r="N14" s="28">
        <v>120</v>
      </c>
      <c r="O14" s="28">
        <v>60</v>
      </c>
      <c r="P14" s="58">
        <v>16080</v>
      </c>
      <c r="Q14" s="61">
        <v>44400</v>
      </c>
      <c r="R14" s="38" t="s">
        <v>222</v>
      </c>
      <c r="S14" s="38" t="s">
        <v>223</v>
      </c>
      <c r="T14" s="38" t="s">
        <v>222</v>
      </c>
      <c r="U14" s="38" t="s">
        <v>224</v>
      </c>
    </row>
    <row r="15" s="2" customFormat="1" ht="100.05" customHeight="1" spans="1:21">
      <c r="A15" s="11"/>
      <c r="B15" s="14"/>
      <c r="C15" s="14"/>
      <c r="D15" s="14"/>
      <c r="E15" s="20"/>
      <c r="F15" s="14" t="s">
        <v>225</v>
      </c>
      <c r="G15" s="19">
        <v>60</v>
      </c>
      <c r="H15" s="11" t="s">
        <v>188</v>
      </c>
      <c r="I15" s="27"/>
      <c r="J15" s="28"/>
      <c r="K15" s="19" t="s">
        <v>189</v>
      </c>
      <c r="L15" s="16">
        <v>5.53333333333333</v>
      </c>
      <c r="M15" s="28"/>
      <c r="N15" s="28">
        <v>150</v>
      </c>
      <c r="O15" s="28">
        <v>60</v>
      </c>
      <c r="P15" s="58">
        <v>19920</v>
      </c>
      <c r="Q15" s="61"/>
      <c r="R15" s="38"/>
      <c r="S15" s="38"/>
      <c r="T15" s="38"/>
      <c r="U15" s="38"/>
    </row>
    <row r="16" s="2" customFormat="1" ht="100.05" customHeight="1" spans="1:21">
      <c r="A16" s="11"/>
      <c r="B16" s="14"/>
      <c r="C16" s="14"/>
      <c r="D16" s="14"/>
      <c r="E16" s="18"/>
      <c r="F16" s="14" t="s">
        <v>226</v>
      </c>
      <c r="G16" s="19">
        <v>70</v>
      </c>
      <c r="H16" s="11" t="s">
        <v>227</v>
      </c>
      <c r="I16" s="27"/>
      <c r="J16" s="28"/>
      <c r="K16" s="19" t="s">
        <v>228</v>
      </c>
      <c r="L16" s="16">
        <v>2</v>
      </c>
      <c r="M16" s="28"/>
      <c r="N16" s="28">
        <v>120</v>
      </c>
      <c r="O16" s="28">
        <v>60</v>
      </c>
      <c r="P16" s="58">
        <v>8400</v>
      </c>
      <c r="Q16" s="61"/>
      <c r="R16" s="38"/>
      <c r="S16" s="38"/>
      <c r="T16" s="38"/>
      <c r="U16" s="38"/>
    </row>
    <row r="17" s="2" customFormat="1" ht="300" customHeight="1" spans="1:21">
      <c r="A17" s="11">
        <v>11</v>
      </c>
      <c r="B17" s="14" t="s">
        <v>12</v>
      </c>
      <c r="C17" s="14" t="s">
        <v>229</v>
      </c>
      <c r="D17" s="14" t="s">
        <v>230</v>
      </c>
      <c r="E17" s="13" t="s">
        <v>154</v>
      </c>
      <c r="F17" s="14" t="s">
        <v>231</v>
      </c>
      <c r="G17" s="19">
        <v>810.26</v>
      </c>
      <c r="H17" s="11" t="s">
        <v>232</v>
      </c>
      <c r="I17" s="27" t="s">
        <v>157</v>
      </c>
      <c r="J17" s="28">
        <v>0</v>
      </c>
      <c r="K17" s="19" t="s">
        <v>233</v>
      </c>
      <c r="L17" s="16">
        <v>7.2</v>
      </c>
      <c r="M17" s="28">
        <v>7.2</v>
      </c>
      <c r="N17" s="28">
        <v>82</v>
      </c>
      <c r="O17" s="28">
        <f t="shared" ref="O17:O21" si="0">N17*0.5</f>
        <v>41</v>
      </c>
      <c r="P17" s="58">
        <v>239188.752</v>
      </c>
      <c r="Q17" s="61">
        <v>239188</v>
      </c>
      <c r="R17" s="38" t="s">
        <v>234</v>
      </c>
      <c r="S17" s="38" t="s">
        <v>235</v>
      </c>
      <c r="T17" s="38" t="s">
        <v>234</v>
      </c>
      <c r="U17" s="38" t="s">
        <v>236</v>
      </c>
    </row>
    <row r="18" s="2" customFormat="1" ht="150" customHeight="1" spans="1:21">
      <c r="A18" s="11">
        <v>12</v>
      </c>
      <c r="B18" s="14" t="s">
        <v>13</v>
      </c>
      <c r="C18" s="14" t="s">
        <v>237</v>
      </c>
      <c r="D18" s="14" t="s">
        <v>238</v>
      </c>
      <c r="E18" s="17" t="s">
        <v>154</v>
      </c>
      <c r="F18" s="14" t="s">
        <v>237</v>
      </c>
      <c r="G18" s="19">
        <v>270</v>
      </c>
      <c r="H18" s="11" t="s">
        <v>239</v>
      </c>
      <c r="I18" s="27" t="s">
        <v>157</v>
      </c>
      <c r="J18" s="29">
        <v>0</v>
      </c>
      <c r="K18" s="19" t="s">
        <v>240</v>
      </c>
      <c r="L18" s="16">
        <v>4.51612903225806</v>
      </c>
      <c r="M18" s="28">
        <v>11</v>
      </c>
      <c r="N18" s="28">
        <v>110.25</v>
      </c>
      <c r="O18" s="28">
        <f t="shared" si="0"/>
        <v>55.125</v>
      </c>
      <c r="P18" s="58">
        <v>67216.935483871</v>
      </c>
      <c r="Q18" s="61">
        <v>187954</v>
      </c>
      <c r="R18" s="38" t="s">
        <v>241</v>
      </c>
      <c r="S18" s="38" t="s">
        <v>242</v>
      </c>
      <c r="T18" s="38" t="s">
        <v>241</v>
      </c>
      <c r="U18" s="38" t="s">
        <v>243</v>
      </c>
    </row>
    <row r="19" s="2" customFormat="1" ht="150" customHeight="1" spans="1:21">
      <c r="A19" s="11"/>
      <c r="B19" s="14"/>
      <c r="C19" s="14"/>
      <c r="D19" s="14"/>
      <c r="E19" s="18"/>
      <c r="F19" s="14" t="s">
        <v>237</v>
      </c>
      <c r="G19" s="19">
        <v>337.8</v>
      </c>
      <c r="H19" s="11" t="s">
        <v>244</v>
      </c>
      <c r="I19" s="27"/>
      <c r="J19" s="30"/>
      <c r="K19" s="19" t="s">
        <v>206</v>
      </c>
      <c r="L19" s="16">
        <v>6.48387096774194</v>
      </c>
      <c r="M19" s="28"/>
      <c r="N19" s="28">
        <v>110.25</v>
      </c>
      <c r="O19" s="28">
        <f t="shared" si="0"/>
        <v>55.125</v>
      </c>
      <c r="P19" s="58">
        <v>120737.62016129</v>
      </c>
      <c r="Q19" s="61"/>
      <c r="R19" s="38"/>
      <c r="S19" s="38"/>
      <c r="T19" s="38"/>
      <c r="U19" s="38"/>
    </row>
    <row r="20" s="2" customFormat="1" ht="150" customHeight="1" spans="1:21">
      <c r="A20" s="11">
        <v>13</v>
      </c>
      <c r="B20" s="14" t="s">
        <v>14</v>
      </c>
      <c r="C20" s="14" t="s">
        <v>245</v>
      </c>
      <c r="D20" s="14" t="s">
        <v>246</v>
      </c>
      <c r="E20" s="21" t="s">
        <v>154</v>
      </c>
      <c r="F20" s="14" t="s">
        <v>247</v>
      </c>
      <c r="G20" s="19">
        <v>8.5</v>
      </c>
      <c r="H20" s="11" t="s">
        <v>248</v>
      </c>
      <c r="I20" s="27" t="s">
        <v>157</v>
      </c>
      <c r="J20" s="28">
        <v>0</v>
      </c>
      <c r="K20" s="19" t="s">
        <v>249</v>
      </c>
      <c r="L20" s="16">
        <v>8.29032258064516</v>
      </c>
      <c r="M20" s="28">
        <v>12</v>
      </c>
      <c r="N20" s="28">
        <v>117.647058823529</v>
      </c>
      <c r="O20" s="28">
        <f t="shared" si="0"/>
        <v>58.8235294117645</v>
      </c>
      <c r="P20" s="58">
        <v>4145.16129032258</v>
      </c>
      <c r="Q20" s="61">
        <v>6000</v>
      </c>
      <c r="R20" s="38" t="s">
        <v>250</v>
      </c>
      <c r="S20" s="38" t="s">
        <v>251</v>
      </c>
      <c r="T20" s="38" t="s">
        <v>250</v>
      </c>
      <c r="U20" s="38" t="s">
        <v>252</v>
      </c>
    </row>
    <row r="21" s="2" customFormat="1" ht="150" customHeight="1" spans="1:21">
      <c r="A21" s="11"/>
      <c r="B21" s="14"/>
      <c r="C21" s="14"/>
      <c r="D21" s="14"/>
      <c r="E21" s="22"/>
      <c r="F21" s="14" t="s">
        <v>247</v>
      </c>
      <c r="G21" s="19">
        <v>8.5</v>
      </c>
      <c r="H21" s="11" t="s">
        <v>253</v>
      </c>
      <c r="I21" s="27"/>
      <c r="J21" s="28"/>
      <c r="K21" s="19" t="s">
        <v>254</v>
      </c>
      <c r="L21" s="16">
        <v>3.70967741935484</v>
      </c>
      <c r="M21" s="28"/>
      <c r="N21" s="28">
        <v>117.647058823529</v>
      </c>
      <c r="O21" s="28">
        <f t="shared" si="0"/>
        <v>58.8235294117645</v>
      </c>
      <c r="P21" s="58">
        <v>1854.83870967742</v>
      </c>
      <c r="Q21" s="61"/>
      <c r="R21" s="38"/>
      <c r="S21" s="38"/>
      <c r="T21" s="38"/>
      <c r="U21" s="38"/>
    </row>
    <row r="22" s="2" customFormat="1" ht="300" customHeight="1" spans="1:21">
      <c r="A22" s="11">
        <v>14</v>
      </c>
      <c r="B22" s="14" t="s">
        <v>15</v>
      </c>
      <c r="C22" s="14" t="s">
        <v>255</v>
      </c>
      <c r="D22" s="11" t="s">
        <v>256</v>
      </c>
      <c r="E22" s="13" t="s">
        <v>154</v>
      </c>
      <c r="F22" s="14" t="s">
        <v>255</v>
      </c>
      <c r="G22" s="19">
        <v>8.5</v>
      </c>
      <c r="H22" s="11" t="s">
        <v>257</v>
      </c>
      <c r="I22" s="27" t="s">
        <v>157</v>
      </c>
      <c r="J22" s="28">
        <v>0</v>
      </c>
      <c r="K22" s="19" t="s">
        <v>206</v>
      </c>
      <c r="L22" s="16">
        <v>6.48387096774194</v>
      </c>
      <c r="M22" s="28">
        <v>6.48387096774194</v>
      </c>
      <c r="N22" s="28">
        <v>176.470588235294</v>
      </c>
      <c r="O22" s="28">
        <v>60</v>
      </c>
      <c r="P22" s="58">
        <v>3306.77419354839</v>
      </c>
      <c r="Q22" s="61">
        <v>3306</v>
      </c>
      <c r="R22" s="38" t="s">
        <v>258</v>
      </c>
      <c r="S22" s="38" t="s">
        <v>259</v>
      </c>
      <c r="T22" s="38" t="s">
        <v>258</v>
      </c>
      <c r="U22" s="38" t="s">
        <v>260</v>
      </c>
    </row>
    <row r="23" s="2" customFormat="1" ht="150" customHeight="1" spans="1:21">
      <c r="A23" s="11">
        <v>15</v>
      </c>
      <c r="B23" s="14" t="s">
        <v>16</v>
      </c>
      <c r="C23" s="14" t="s">
        <v>261</v>
      </c>
      <c r="D23" s="14" t="s">
        <v>262</v>
      </c>
      <c r="E23" s="21" t="s">
        <v>154</v>
      </c>
      <c r="F23" s="14" t="s">
        <v>263</v>
      </c>
      <c r="G23" s="19">
        <v>150</v>
      </c>
      <c r="H23" s="11" t="s">
        <v>264</v>
      </c>
      <c r="I23" s="27" t="s">
        <v>220</v>
      </c>
      <c r="J23" s="29">
        <v>9</v>
      </c>
      <c r="K23" s="19" t="s">
        <v>265</v>
      </c>
      <c r="L23" s="16">
        <v>4</v>
      </c>
      <c r="M23" s="28">
        <v>21</v>
      </c>
      <c r="N23" s="28">
        <v>120</v>
      </c>
      <c r="O23" s="28">
        <v>60</v>
      </c>
      <c r="P23" s="58">
        <v>36000</v>
      </c>
      <c r="Q23" s="61">
        <v>96300</v>
      </c>
      <c r="R23" s="38" t="s">
        <v>266</v>
      </c>
      <c r="S23" s="38" t="s">
        <v>267</v>
      </c>
      <c r="T23" s="38" t="s">
        <v>266</v>
      </c>
      <c r="U23" s="38" t="s">
        <v>268</v>
      </c>
    </row>
    <row r="24" s="2" customFormat="1" ht="150" customHeight="1" spans="1:21">
      <c r="A24" s="11"/>
      <c r="B24" s="14"/>
      <c r="C24" s="14"/>
      <c r="D24" s="14"/>
      <c r="E24" s="23"/>
      <c r="F24" s="14" t="s">
        <v>263</v>
      </c>
      <c r="G24" s="19">
        <v>150</v>
      </c>
      <c r="H24" s="11" t="s">
        <v>264</v>
      </c>
      <c r="I24" s="27"/>
      <c r="J24" s="31"/>
      <c r="K24" s="19" t="s">
        <v>269</v>
      </c>
      <c r="L24" s="16">
        <v>2</v>
      </c>
      <c r="M24" s="28"/>
      <c r="N24" s="28">
        <v>96</v>
      </c>
      <c r="O24" s="28">
        <f>N24*0.5</f>
        <v>48</v>
      </c>
      <c r="P24" s="58">
        <v>14400</v>
      </c>
      <c r="Q24" s="61"/>
      <c r="R24" s="38"/>
      <c r="S24" s="38"/>
      <c r="T24" s="38"/>
      <c r="U24" s="38"/>
    </row>
    <row r="25" s="2" customFormat="1" ht="150" customHeight="1" spans="1:21">
      <c r="A25" s="11"/>
      <c r="B25" s="14"/>
      <c r="C25" s="14"/>
      <c r="D25" s="14"/>
      <c r="E25" s="23"/>
      <c r="F25" s="14" t="s">
        <v>263</v>
      </c>
      <c r="G25" s="19">
        <v>150</v>
      </c>
      <c r="H25" s="11" t="s">
        <v>270</v>
      </c>
      <c r="I25" s="27"/>
      <c r="J25" s="31"/>
      <c r="K25" s="19" t="s">
        <v>270</v>
      </c>
      <c r="L25" s="16">
        <v>3</v>
      </c>
      <c r="M25" s="28"/>
      <c r="N25" s="28">
        <v>120</v>
      </c>
      <c r="O25" s="28">
        <v>60</v>
      </c>
      <c r="P25" s="58">
        <v>27000</v>
      </c>
      <c r="Q25" s="61"/>
      <c r="R25" s="38"/>
      <c r="S25" s="38"/>
      <c r="T25" s="38"/>
      <c r="U25" s="38"/>
    </row>
    <row r="26" s="2" customFormat="1" ht="150" customHeight="1" spans="1:21">
      <c r="A26" s="11"/>
      <c r="B26" s="14"/>
      <c r="C26" s="14"/>
      <c r="D26" s="14"/>
      <c r="E26" s="22"/>
      <c r="F26" s="14" t="s">
        <v>271</v>
      </c>
      <c r="G26" s="19">
        <v>105</v>
      </c>
      <c r="H26" s="11" t="s">
        <v>272</v>
      </c>
      <c r="I26" s="27"/>
      <c r="J26" s="30"/>
      <c r="K26" s="19" t="s">
        <v>273</v>
      </c>
      <c r="L26" s="16">
        <v>3</v>
      </c>
      <c r="M26" s="28"/>
      <c r="N26" s="28">
        <v>120</v>
      </c>
      <c r="O26" s="28">
        <v>60</v>
      </c>
      <c r="P26" s="58">
        <v>18900</v>
      </c>
      <c r="Q26" s="61"/>
      <c r="R26" s="38"/>
      <c r="S26" s="38"/>
      <c r="T26" s="38"/>
      <c r="U26" s="38"/>
    </row>
    <row r="27" s="2" customFormat="1" ht="300" customHeight="1" spans="1:21">
      <c r="A27" s="11">
        <v>16</v>
      </c>
      <c r="B27" s="14" t="s">
        <v>17</v>
      </c>
      <c r="C27" s="14" t="s">
        <v>274</v>
      </c>
      <c r="D27" s="14" t="s">
        <v>275</v>
      </c>
      <c r="E27" s="14" t="s">
        <v>154</v>
      </c>
      <c r="F27" s="14" t="s">
        <v>276</v>
      </c>
      <c r="G27" s="19">
        <v>155</v>
      </c>
      <c r="H27" s="11" t="s">
        <v>277</v>
      </c>
      <c r="I27" s="27" t="s">
        <v>157</v>
      </c>
      <c r="J27" s="28">
        <v>0</v>
      </c>
      <c r="K27" s="19" t="s">
        <v>278</v>
      </c>
      <c r="L27" s="16">
        <v>12</v>
      </c>
      <c r="M27" s="28">
        <v>12</v>
      </c>
      <c r="N27" s="28">
        <v>139</v>
      </c>
      <c r="O27" s="28">
        <v>60</v>
      </c>
      <c r="P27" s="59">
        <v>111600</v>
      </c>
      <c r="Q27" s="61">
        <v>111600</v>
      </c>
      <c r="R27" s="38" t="s">
        <v>279</v>
      </c>
      <c r="S27" s="38" t="s">
        <v>280</v>
      </c>
      <c r="T27" s="38" t="s">
        <v>279</v>
      </c>
      <c r="U27" s="38" t="s">
        <v>281</v>
      </c>
    </row>
    <row r="28" s="2" customFormat="1" ht="300" customHeight="1" spans="1:21">
      <c r="A28" s="11">
        <v>17</v>
      </c>
      <c r="B28" s="11" t="s">
        <v>18</v>
      </c>
      <c r="C28" s="14" t="s">
        <v>282</v>
      </c>
      <c r="D28" s="14" t="s">
        <v>283</v>
      </c>
      <c r="E28" s="13" t="s">
        <v>154</v>
      </c>
      <c r="F28" s="14" t="s">
        <v>282</v>
      </c>
      <c r="G28" s="16">
        <v>24.46</v>
      </c>
      <c r="H28" s="11" t="s">
        <v>284</v>
      </c>
      <c r="I28" s="27" t="s">
        <v>157</v>
      </c>
      <c r="J28" s="28">
        <v>0</v>
      </c>
      <c r="K28" s="19" t="s">
        <v>285</v>
      </c>
      <c r="L28" s="16">
        <v>8.51612903225806</v>
      </c>
      <c r="M28" s="28">
        <v>8.51612903225806</v>
      </c>
      <c r="N28" s="28">
        <v>107.16</v>
      </c>
      <c r="O28" s="28">
        <f t="shared" ref="O28:O43" si="1">N28*0.5</f>
        <v>53.58</v>
      </c>
      <c r="P28" s="58">
        <v>11160.9559741935</v>
      </c>
      <c r="Q28" s="61">
        <v>11160</v>
      </c>
      <c r="R28" s="38" t="s">
        <v>286</v>
      </c>
      <c r="S28" s="38" t="s">
        <v>287</v>
      </c>
      <c r="T28" s="38" t="s">
        <v>286</v>
      </c>
      <c r="U28" s="38" t="s">
        <v>288</v>
      </c>
    </row>
    <row r="29" s="2" customFormat="1" ht="300" customHeight="1" spans="1:21">
      <c r="A29" s="11">
        <v>18</v>
      </c>
      <c r="B29" s="11" t="s">
        <v>19</v>
      </c>
      <c r="C29" s="14" t="s">
        <v>289</v>
      </c>
      <c r="D29" s="14" t="s">
        <v>290</v>
      </c>
      <c r="E29" s="13" t="s">
        <v>154</v>
      </c>
      <c r="F29" s="14" t="s">
        <v>289</v>
      </c>
      <c r="G29" s="16">
        <v>10</v>
      </c>
      <c r="H29" s="11" t="s">
        <v>291</v>
      </c>
      <c r="I29" s="27" t="s">
        <v>157</v>
      </c>
      <c r="J29" s="28">
        <v>0</v>
      </c>
      <c r="K29" s="19" t="s">
        <v>292</v>
      </c>
      <c r="L29" s="16">
        <v>5.87096774193548</v>
      </c>
      <c r="M29" s="28">
        <v>5.87096774193548</v>
      </c>
      <c r="N29" s="28">
        <v>150</v>
      </c>
      <c r="O29" s="28">
        <v>60</v>
      </c>
      <c r="P29" s="58">
        <v>3522.58064516129</v>
      </c>
      <c r="Q29" s="61">
        <v>3522</v>
      </c>
      <c r="R29" s="38" t="s">
        <v>293</v>
      </c>
      <c r="S29" s="38" t="s">
        <v>294</v>
      </c>
      <c r="T29" s="38" t="s">
        <v>293</v>
      </c>
      <c r="U29" s="38" t="s">
        <v>295</v>
      </c>
    </row>
    <row r="30" s="2" customFormat="1" ht="300" customHeight="1" spans="1:21">
      <c r="A30" s="11">
        <v>19</v>
      </c>
      <c r="B30" s="11" t="s">
        <v>296</v>
      </c>
      <c r="C30" s="14" t="s">
        <v>297</v>
      </c>
      <c r="D30" s="14" t="s">
        <v>298</v>
      </c>
      <c r="E30" s="13" t="s">
        <v>154</v>
      </c>
      <c r="F30" s="14" t="s">
        <v>297</v>
      </c>
      <c r="G30" s="16">
        <v>248</v>
      </c>
      <c r="H30" s="11" t="s">
        <v>299</v>
      </c>
      <c r="I30" s="27" t="s">
        <v>157</v>
      </c>
      <c r="J30" s="28">
        <v>0</v>
      </c>
      <c r="K30" s="19" t="s">
        <v>300</v>
      </c>
      <c r="L30" s="16">
        <v>9.6</v>
      </c>
      <c r="M30" s="28">
        <v>9.6</v>
      </c>
      <c r="N30" s="28">
        <v>155.322580645161</v>
      </c>
      <c r="O30" s="28">
        <v>60</v>
      </c>
      <c r="P30" s="58">
        <v>142848</v>
      </c>
      <c r="Q30" s="61">
        <v>142848</v>
      </c>
      <c r="R30" s="38" t="s">
        <v>301</v>
      </c>
      <c r="S30" s="38" t="s">
        <v>302</v>
      </c>
      <c r="T30" s="38" t="s">
        <v>301</v>
      </c>
      <c r="U30" s="38" t="s">
        <v>303</v>
      </c>
    </row>
    <row r="31" s="2" customFormat="1" ht="300" customHeight="1" spans="1:21">
      <c r="A31" s="11">
        <v>20</v>
      </c>
      <c r="B31" s="11" t="s">
        <v>20</v>
      </c>
      <c r="C31" s="14" t="s">
        <v>304</v>
      </c>
      <c r="D31" s="14" t="s">
        <v>305</v>
      </c>
      <c r="E31" s="13" t="s">
        <v>154</v>
      </c>
      <c r="F31" s="14" t="s">
        <v>304</v>
      </c>
      <c r="G31" s="16">
        <v>10</v>
      </c>
      <c r="H31" s="11" t="s">
        <v>306</v>
      </c>
      <c r="I31" s="27" t="s">
        <v>157</v>
      </c>
      <c r="J31" s="28">
        <v>0</v>
      </c>
      <c r="K31" s="19" t="s">
        <v>307</v>
      </c>
      <c r="L31" s="16">
        <v>6.45161290322581</v>
      </c>
      <c r="M31" s="28">
        <v>6.45161290322581</v>
      </c>
      <c r="N31" s="28">
        <v>150</v>
      </c>
      <c r="O31" s="28">
        <v>60</v>
      </c>
      <c r="P31" s="58">
        <v>3870.96774193548</v>
      </c>
      <c r="Q31" s="61">
        <v>3870</v>
      </c>
      <c r="R31" s="38" t="s">
        <v>308</v>
      </c>
      <c r="S31" s="38" t="s">
        <v>309</v>
      </c>
      <c r="T31" s="38" t="s">
        <v>308</v>
      </c>
      <c r="U31" s="38" t="s">
        <v>310</v>
      </c>
    </row>
    <row r="32" s="2" customFormat="1" ht="80" customHeight="1" spans="1:21">
      <c r="A32" s="11">
        <v>21</v>
      </c>
      <c r="B32" s="11" t="s">
        <v>21</v>
      </c>
      <c r="C32" s="14" t="s">
        <v>311</v>
      </c>
      <c r="D32" s="14" t="s">
        <v>312</v>
      </c>
      <c r="E32" s="17" t="s">
        <v>154</v>
      </c>
      <c r="F32" s="14" t="s">
        <v>313</v>
      </c>
      <c r="G32" s="16">
        <v>43.78</v>
      </c>
      <c r="H32" s="11" t="s">
        <v>291</v>
      </c>
      <c r="I32" s="27" t="s">
        <v>157</v>
      </c>
      <c r="J32" s="28">
        <v>0</v>
      </c>
      <c r="K32" s="19" t="s">
        <v>314</v>
      </c>
      <c r="L32" s="16">
        <v>5</v>
      </c>
      <c r="M32" s="28">
        <v>5</v>
      </c>
      <c r="N32" s="28">
        <v>80</v>
      </c>
      <c r="O32" s="28">
        <f t="shared" si="1"/>
        <v>40</v>
      </c>
      <c r="P32" s="58">
        <v>8756</v>
      </c>
      <c r="Q32" s="61">
        <v>61234</v>
      </c>
      <c r="R32" s="38" t="s">
        <v>315</v>
      </c>
      <c r="S32" s="38" t="s">
        <v>316</v>
      </c>
      <c r="T32" s="38" t="s">
        <v>315</v>
      </c>
      <c r="U32" s="38" t="s">
        <v>317</v>
      </c>
    </row>
    <row r="33" s="2" customFormat="1" ht="80" customHeight="1" spans="1:21">
      <c r="A33" s="11"/>
      <c r="B33" s="11"/>
      <c r="C33" s="14"/>
      <c r="D33" s="14"/>
      <c r="E33" s="20"/>
      <c r="F33" s="14" t="s">
        <v>318</v>
      </c>
      <c r="G33" s="16">
        <v>40.42</v>
      </c>
      <c r="H33" s="11" t="s">
        <v>319</v>
      </c>
      <c r="I33" s="27"/>
      <c r="J33" s="28"/>
      <c r="K33" s="19" t="s">
        <v>320</v>
      </c>
      <c r="L33" s="16">
        <v>4</v>
      </c>
      <c r="M33" s="28"/>
      <c r="N33" s="28">
        <v>80</v>
      </c>
      <c r="O33" s="28">
        <f t="shared" si="1"/>
        <v>40</v>
      </c>
      <c r="P33" s="58">
        <v>6467.2</v>
      </c>
      <c r="Q33" s="61"/>
      <c r="R33" s="38"/>
      <c r="S33" s="38"/>
      <c r="T33" s="38"/>
      <c r="U33" s="38"/>
    </row>
    <row r="34" s="2" customFormat="1" ht="80" customHeight="1" spans="1:21">
      <c r="A34" s="11"/>
      <c r="B34" s="11"/>
      <c r="C34" s="14"/>
      <c r="D34" s="14"/>
      <c r="E34" s="20"/>
      <c r="F34" s="14" t="s">
        <v>321</v>
      </c>
      <c r="G34" s="16">
        <v>42.15</v>
      </c>
      <c r="H34" s="11" t="s">
        <v>322</v>
      </c>
      <c r="I34" s="27"/>
      <c r="J34" s="28"/>
      <c r="K34" s="19" t="s">
        <v>320</v>
      </c>
      <c r="L34" s="16">
        <v>4</v>
      </c>
      <c r="M34" s="28"/>
      <c r="N34" s="28">
        <v>80</v>
      </c>
      <c r="O34" s="28">
        <f t="shared" si="1"/>
        <v>40</v>
      </c>
      <c r="P34" s="58">
        <v>6744</v>
      </c>
      <c r="Q34" s="61"/>
      <c r="R34" s="38"/>
      <c r="S34" s="38"/>
      <c r="T34" s="38"/>
      <c r="U34" s="38"/>
    </row>
    <row r="35" s="2" customFormat="1" ht="80" customHeight="1" spans="1:21">
      <c r="A35" s="11"/>
      <c r="B35" s="11"/>
      <c r="C35" s="14"/>
      <c r="D35" s="14"/>
      <c r="E35" s="20"/>
      <c r="F35" s="14" t="s">
        <v>323</v>
      </c>
      <c r="G35" s="16">
        <v>37.82</v>
      </c>
      <c r="H35" s="11" t="s">
        <v>324</v>
      </c>
      <c r="I35" s="27"/>
      <c r="J35" s="28"/>
      <c r="K35" s="19" t="s">
        <v>320</v>
      </c>
      <c r="L35" s="16">
        <v>4</v>
      </c>
      <c r="M35" s="28"/>
      <c r="N35" s="28">
        <v>80</v>
      </c>
      <c r="O35" s="28">
        <f t="shared" si="1"/>
        <v>40</v>
      </c>
      <c r="P35" s="58">
        <v>6051.2</v>
      </c>
      <c r="Q35" s="61"/>
      <c r="R35" s="38"/>
      <c r="S35" s="38"/>
      <c r="T35" s="38"/>
      <c r="U35" s="38"/>
    </row>
    <row r="36" s="2" customFormat="1" ht="80" customHeight="1" spans="1:21">
      <c r="A36" s="11"/>
      <c r="B36" s="11"/>
      <c r="C36" s="14"/>
      <c r="D36" s="14"/>
      <c r="E36" s="20"/>
      <c r="F36" s="14" t="s">
        <v>325</v>
      </c>
      <c r="G36" s="16">
        <v>39.94</v>
      </c>
      <c r="H36" s="11" t="s">
        <v>319</v>
      </c>
      <c r="I36" s="27"/>
      <c r="J36" s="28"/>
      <c r="K36" s="19" t="s">
        <v>320</v>
      </c>
      <c r="L36" s="16">
        <v>4</v>
      </c>
      <c r="M36" s="28"/>
      <c r="N36" s="28">
        <v>80</v>
      </c>
      <c r="O36" s="28">
        <f t="shared" si="1"/>
        <v>40</v>
      </c>
      <c r="P36" s="58">
        <v>6390.4</v>
      </c>
      <c r="Q36" s="61"/>
      <c r="R36" s="38"/>
      <c r="S36" s="38"/>
      <c r="T36" s="38"/>
      <c r="U36" s="38"/>
    </row>
    <row r="37" s="2" customFormat="1" ht="80" customHeight="1" spans="1:21">
      <c r="A37" s="11"/>
      <c r="B37" s="11"/>
      <c r="C37" s="14"/>
      <c r="D37" s="14"/>
      <c r="E37" s="20"/>
      <c r="F37" s="14" t="s">
        <v>326</v>
      </c>
      <c r="G37" s="16">
        <v>79.08</v>
      </c>
      <c r="H37" s="11" t="s">
        <v>327</v>
      </c>
      <c r="I37" s="27"/>
      <c r="J37" s="28"/>
      <c r="K37" s="19" t="s">
        <v>228</v>
      </c>
      <c r="L37" s="16">
        <v>2</v>
      </c>
      <c r="M37" s="28"/>
      <c r="N37" s="28">
        <v>80</v>
      </c>
      <c r="O37" s="28">
        <f t="shared" si="1"/>
        <v>40</v>
      </c>
      <c r="P37" s="58">
        <v>6326.4</v>
      </c>
      <c r="Q37" s="61"/>
      <c r="R37" s="38"/>
      <c r="S37" s="38"/>
      <c r="T37" s="38"/>
      <c r="U37" s="38"/>
    </row>
    <row r="38" s="2" customFormat="1" ht="80" customHeight="1" spans="1:21">
      <c r="A38" s="11"/>
      <c r="B38" s="11"/>
      <c r="C38" s="14"/>
      <c r="D38" s="14"/>
      <c r="E38" s="20"/>
      <c r="F38" s="14" t="s">
        <v>328</v>
      </c>
      <c r="G38" s="16">
        <v>75.1</v>
      </c>
      <c r="H38" s="11" t="s">
        <v>329</v>
      </c>
      <c r="I38" s="27"/>
      <c r="J38" s="28"/>
      <c r="K38" s="19" t="s">
        <v>320</v>
      </c>
      <c r="L38" s="16">
        <v>4</v>
      </c>
      <c r="M38" s="28"/>
      <c r="N38" s="28">
        <v>80</v>
      </c>
      <c r="O38" s="28">
        <f t="shared" si="1"/>
        <v>40</v>
      </c>
      <c r="P38" s="58">
        <v>12016</v>
      </c>
      <c r="Q38" s="61"/>
      <c r="R38" s="38"/>
      <c r="S38" s="38"/>
      <c r="T38" s="38"/>
      <c r="U38" s="38"/>
    </row>
    <row r="39" s="2" customFormat="1" ht="80" customHeight="1" spans="1:21">
      <c r="A39" s="11"/>
      <c r="B39" s="11"/>
      <c r="C39" s="14"/>
      <c r="D39" s="14"/>
      <c r="E39" s="18"/>
      <c r="F39" s="14" t="s">
        <v>330</v>
      </c>
      <c r="G39" s="16">
        <v>70.69</v>
      </c>
      <c r="H39" s="11" t="s">
        <v>272</v>
      </c>
      <c r="I39" s="27"/>
      <c r="J39" s="28"/>
      <c r="K39" s="19" t="s">
        <v>273</v>
      </c>
      <c r="L39" s="16">
        <v>3</v>
      </c>
      <c r="M39" s="28"/>
      <c r="N39" s="28">
        <v>80</v>
      </c>
      <c r="O39" s="28">
        <f t="shared" si="1"/>
        <v>40</v>
      </c>
      <c r="P39" s="58">
        <v>8482.8</v>
      </c>
      <c r="Q39" s="61"/>
      <c r="R39" s="38"/>
      <c r="S39" s="38"/>
      <c r="T39" s="38"/>
      <c r="U39" s="38"/>
    </row>
    <row r="40" s="2" customFormat="1" ht="300" customHeight="1" spans="1:21">
      <c r="A40" s="11">
        <v>22</v>
      </c>
      <c r="B40" s="11" t="s">
        <v>22</v>
      </c>
      <c r="C40" s="14" t="s">
        <v>331</v>
      </c>
      <c r="D40" s="14" t="s">
        <v>332</v>
      </c>
      <c r="E40" s="13" t="s">
        <v>154</v>
      </c>
      <c r="F40" s="14" t="s">
        <v>333</v>
      </c>
      <c r="G40" s="16">
        <v>283.37</v>
      </c>
      <c r="H40" s="11" t="s">
        <v>334</v>
      </c>
      <c r="I40" s="27" t="s">
        <v>157</v>
      </c>
      <c r="J40" s="28">
        <v>0</v>
      </c>
      <c r="K40" s="19" t="s">
        <v>335</v>
      </c>
      <c r="L40" s="16">
        <v>8.90322580645161</v>
      </c>
      <c r="M40" s="28">
        <v>8.90322580645161</v>
      </c>
      <c r="N40" s="28">
        <v>118</v>
      </c>
      <c r="O40" s="28">
        <f t="shared" si="1"/>
        <v>59</v>
      </c>
      <c r="P40" s="58">
        <v>148851.518709677</v>
      </c>
      <c r="Q40" s="61">
        <v>148851</v>
      </c>
      <c r="R40" s="38" t="s">
        <v>336</v>
      </c>
      <c r="S40" s="38" t="s">
        <v>337</v>
      </c>
      <c r="T40" s="38" t="s">
        <v>336</v>
      </c>
      <c r="U40" s="38" t="s">
        <v>338</v>
      </c>
    </row>
    <row r="41" s="2" customFormat="1" ht="150" customHeight="1" spans="1:21">
      <c r="A41" s="11">
        <v>23</v>
      </c>
      <c r="B41" s="11" t="s">
        <v>23</v>
      </c>
      <c r="C41" s="14" t="s">
        <v>339</v>
      </c>
      <c r="D41" s="14" t="s">
        <v>340</v>
      </c>
      <c r="E41" s="17" t="s">
        <v>154</v>
      </c>
      <c r="F41" s="14" t="s">
        <v>341</v>
      </c>
      <c r="G41" s="16">
        <v>21</v>
      </c>
      <c r="H41" s="11" t="s">
        <v>342</v>
      </c>
      <c r="I41" s="27" t="s">
        <v>157</v>
      </c>
      <c r="J41" s="28">
        <v>0</v>
      </c>
      <c r="K41" s="19" t="s">
        <v>342</v>
      </c>
      <c r="L41" s="16">
        <v>8.11290322580645</v>
      </c>
      <c r="M41" s="28">
        <v>15.6129032258065</v>
      </c>
      <c r="N41" s="28">
        <v>87.42</v>
      </c>
      <c r="O41" s="28">
        <f t="shared" si="1"/>
        <v>43.71</v>
      </c>
      <c r="P41" s="58">
        <v>7446.915</v>
      </c>
      <c r="Q41" s="61">
        <v>14331</v>
      </c>
      <c r="R41" s="38" t="s">
        <v>343</v>
      </c>
      <c r="S41" s="38" t="s">
        <v>344</v>
      </c>
      <c r="T41" s="38" t="s">
        <v>343</v>
      </c>
      <c r="U41" s="38" t="s">
        <v>345</v>
      </c>
    </row>
    <row r="42" s="2" customFormat="1" ht="150" customHeight="1" spans="1:21">
      <c r="A42" s="11"/>
      <c r="B42" s="11"/>
      <c r="C42" s="14"/>
      <c r="D42" s="14"/>
      <c r="E42" s="18"/>
      <c r="F42" s="14" t="s">
        <v>341</v>
      </c>
      <c r="G42" s="16">
        <v>21</v>
      </c>
      <c r="H42" s="11" t="s">
        <v>346</v>
      </c>
      <c r="I42" s="27"/>
      <c r="J42" s="28"/>
      <c r="K42" s="19" t="s">
        <v>346</v>
      </c>
      <c r="L42" s="16">
        <v>7.5</v>
      </c>
      <c r="M42" s="28"/>
      <c r="N42" s="28">
        <v>87.42</v>
      </c>
      <c r="O42" s="28">
        <f t="shared" si="1"/>
        <v>43.71</v>
      </c>
      <c r="P42" s="58">
        <v>6884.325</v>
      </c>
      <c r="Q42" s="61"/>
      <c r="R42" s="38"/>
      <c r="S42" s="38"/>
      <c r="T42" s="38"/>
      <c r="U42" s="38"/>
    </row>
    <row r="43" s="2" customFormat="1" ht="300" customHeight="1" spans="1:21">
      <c r="A43" s="11">
        <v>24</v>
      </c>
      <c r="B43" s="15" t="s">
        <v>24</v>
      </c>
      <c r="C43" s="14" t="s">
        <v>347</v>
      </c>
      <c r="D43" s="15" t="s">
        <v>348</v>
      </c>
      <c r="E43" s="13" t="s">
        <v>154</v>
      </c>
      <c r="F43" s="15" t="s">
        <v>349</v>
      </c>
      <c r="G43" s="19">
        <v>39.48</v>
      </c>
      <c r="H43" s="11" t="s">
        <v>350</v>
      </c>
      <c r="I43" s="27" t="s">
        <v>157</v>
      </c>
      <c r="J43" s="28">
        <v>0</v>
      </c>
      <c r="K43" s="32" t="s">
        <v>351</v>
      </c>
      <c r="L43" s="33">
        <v>10.1290322580645</v>
      </c>
      <c r="M43" s="28">
        <v>10.1290322580645</v>
      </c>
      <c r="N43" s="28">
        <v>87.42</v>
      </c>
      <c r="O43" s="28">
        <f t="shared" si="1"/>
        <v>43.71</v>
      </c>
      <c r="P43" s="59">
        <v>17479.3752</v>
      </c>
      <c r="Q43" s="61">
        <v>17479</v>
      </c>
      <c r="R43" s="38" t="s">
        <v>352</v>
      </c>
      <c r="S43" s="38" t="s">
        <v>353</v>
      </c>
      <c r="T43" s="38" t="s">
        <v>352</v>
      </c>
      <c r="U43" s="38" t="s">
        <v>354</v>
      </c>
    </row>
    <row r="44" s="2" customFormat="1" ht="300" customHeight="1" spans="1:21">
      <c r="A44" s="11">
        <v>25</v>
      </c>
      <c r="B44" s="15" t="s">
        <v>25</v>
      </c>
      <c r="C44" s="14" t="s">
        <v>355</v>
      </c>
      <c r="D44" s="15" t="s">
        <v>356</v>
      </c>
      <c r="E44" s="13" t="s">
        <v>154</v>
      </c>
      <c r="F44" s="14" t="s">
        <v>357</v>
      </c>
      <c r="G44" s="19">
        <v>190.22</v>
      </c>
      <c r="H44" s="11" t="s">
        <v>358</v>
      </c>
      <c r="I44" s="27" t="s">
        <v>157</v>
      </c>
      <c r="J44" s="28">
        <v>0</v>
      </c>
      <c r="K44" s="32" t="s">
        <v>359</v>
      </c>
      <c r="L44" s="33">
        <v>12</v>
      </c>
      <c r="M44" s="28">
        <v>12</v>
      </c>
      <c r="N44" s="28">
        <v>158</v>
      </c>
      <c r="O44" s="28">
        <v>60</v>
      </c>
      <c r="P44" s="59">
        <v>136958.4</v>
      </c>
      <c r="Q44" s="61">
        <v>136958</v>
      </c>
      <c r="R44" s="38" t="s">
        <v>360</v>
      </c>
      <c r="S44" s="38" t="s">
        <v>361</v>
      </c>
      <c r="T44" s="38" t="s">
        <v>360</v>
      </c>
      <c r="U44" s="38" t="s">
        <v>362</v>
      </c>
    </row>
    <row r="45" s="2" customFormat="1" ht="100.05" customHeight="1" spans="1:21">
      <c r="A45" s="11">
        <v>26</v>
      </c>
      <c r="B45" s="15" t="s">
        <v>26</v>
      </c>
      <c r="C45" s="14" t="s">
        <v>363</v>
      </c>
      <c r="D45" s="15" t="s">
        <v>364</v>
      </c>
      <c r="E45" s="17" t="s">
        <v>154</v>
      </c>
      <c r="F45" s="14" t="s">
        <v>365</v>
      </c>
      <c r="G45" s="19">
        <v>337.42</v>
      </c>
      <c r="H45" s="11" t="s">
        <v>366</v>
      </c>
      <c r="I45" s="27" t="s">
        <v>157</v>
      </c>
      <c r="J45" s="28">
        <v>0</v>
      </c>
      <c r="K45" s="32" t="s">
        <v>228</v>
      </c>
      <c r="L45" s="33">
        <v>2</v>
      </c>
      <c r="M45" s="28">
        <v>2</v>
      </c>
      <c r="N45" s="28">
        <v>80</v>
      </c>
      <c r="O45" s="28">
        <f t="shared" ref="O45:O47" si="2">N45*0.5</f>
        <v>40</v>
      </c>
      <c r="P45" s="59">
        <v>26993.6</v>
      </c>
      <c r="Q45" s="61">
        <v>48354</v>
      </c>
      <c r="R45" s="38" t="s">
        <v>367</v>
      </c>
      <c r="S45" s="38" t="s">
        <v>368</v>
      </c>
      <c r="T45" s="38" t="s">
        <v>367</v>
      </c>
      <c r="U45" s="38" t="s">
        <v>369</v>
      </c>
    </row>
    <row r="46" s="2" customFormat="1" ht="100.05" customHeight="1" spans="1:21">
      <c r="A46" s="11"/>
      <c r="B46" s="15"/>
      <c r="C46" s="14"/>
      <c r="D46" s="15"/>
      <c r="E46" s="20"/>
      <c r="F46" s="14" t="s">
        <v>370</v>
      </c>
      <c r="G46" s="19">
        <v>75.32</v>
      </c>
      <c r="H46" s="11" t="s">
        <v>366</v>
      </c>
      <c r="I46" s="27"/>
      <c r="J46" s="28"/>
      <c r="K46" s="32" t="s">
        <v>228</v>
      </c>
      <c r="L46" s="33">
        <v>2</v>
      </c>
      <c r="M46" s="28"/>
      <c r="N46" s="28">
        <v>80</v>
      </c>
      <c r="O46" s="28">
        <f t="shared" si="2"/>
        <v>40</v>
      </c>
      <c r="P46" s="59">
        <v>6025.6</v>
      </c>
      <c r="Q46" s="61"/>
      <c r="R46" s="38"/>
      <c r="S46" s="38"/>
      <c r="T46" s="38"/>
      <c r="U46" s="38"/>
    </row>
    <row r="47" s="2" customFormat="1" ht="100.05" customHeight="1" spans="1:21">
      <c r="A47" s="11"/>
      <c r="B47" s="15"/>
      <c r="C47" s="14"/>
      <c r="D47" s="15"/>
      <c r="E47" s="18"/>
      <c r="F47" s="14" t="s">
        <v>371</v>
      </c>
      <c r="G47" s="19">
        <v>191.69</v>
      </c>
      <c r="H47" s="11" t="s">
        <v>366</v>
      </c>
      <c r="I47" s="27"/>
      <c r="J47" s="28"/>
      <c r="K47" s="32" t="s">
        <v>228</v>
      </c>
      <c r="L47" s="33">
        <v>2</v>
      </c>
      <c r="M47" s="28"/>
      <c r="N47" s="28">
        <v>80</v>
      </c>
      <c r="O47" s="28">
        <f t="shared" si="2"/>
        <v>40</v>
      </c>
      <c r="P47" s="59">
        <v>15335.2</v>
      </c>
      <c r="Q47" s="61"/>
      <c r="R47" s="38"/>
      <c r="S47" s="38"/>
      <c r="T47" s="38"/>
      <c r="U47" s="38"/>
    </row>
    <row r="48" s="2" customFormat="1" ht="300" customHeight="1" spans="1:21">
      <c r="A48" s="11">
        <v>27</v>
      </c>
      <c r="B48" s="15" t="s">
        <v>27</v>
      </c>
      <c r="C48" s="14" t="s">
        <v>289</v>
      </c>
      <c r="D48" s="15" t="s">
        <v>372</v>
      </c>
      <c r="E48" s="13" t="s">
        <v>154</v>
      </c>
      <c r="F48" s="14" t="s">
        <v>373</v>
      </c>
      <c r="G48" s="19">
        <v>10</v>
      </c>
      <c r="H48" s="11" t="s">
        <v>374</v>
      </c>
      <c r="I48" s="27" t="s">
        <v>157</v>
      </c>
      <c r="J48" s="28">
        <v>0</v>
      </c>
      <c r="K48" s="32" t="s">
        <v>359</v>
      </c>
      <c r="L48" s="33">
        <v>12</v>
      </c>
      <c r="M48" s="28">
        <v>12</v>
      </c>
      <c r="N48" s="28">
        <v>150</v>
      </c>
      <c r="O48" s="28">
        <v>60</v>
      </c>
      <c r="P48" s="59">
        <v>7200</v>
      </c>
      <c r="Q48" s="61">
        <v>7200</v>
      </c>
      <c r="R48" s="38" t="s">
        <v>375</v>
      </c>
      <c r="S48" s="38" t="s">
        <v>376</v>
      </c>
      <c r="T48" s="38" t="s">
        <v>375</v>
      </c>
      <c r="U48" s="38" t="s">
        <v>377</v>
      </c>
    </row>
    <row r="49" s="2" customFormat="1" ht="300" customHeight="1" spans="1:21">
      <c r="A49" s="11">
        <v>28</v>
      </c>
      <c r="B49" s="15" t="s">
        <v>28</v>
      </c>
      <c r="C49" s="14" t="s">
        <v>378</v>
      </c>
      <c r="D49" s="15" t="s">
        <v>379</v>
      </c>
      <c r="E49" s="13" t="s">
        <v>154</v>
      </c>
      <c r="F49" s="14" t="s">
        <v>380</v>
      </c>
      <c r="G49" s="19">
        <v>10</v>
      </c>
      <c r="H49" s="11" t="s">
        <v>381</v>
      </c>
      <c r="I49" s="27" t="s">
        <v>157</v>
      </c>
      <c r="J49" s="28">
        <v>0</v>
      </c>
      <c r="K49" s="32" t="s">
        <v>382</v>
      </c>
      <c r="L49" s="33">
        <v>13</v>
      </c>
      <c r="M49" s="28">
        <v>13</v>
      </c>
      <c r="N49" s="28">
        <v>150</v>
      </c>
      <c r="O49" s="28">
        <v>60</v>
      </c>
      <c r="P49" s="59">
        <v>7800</v>
      </c>
      <c r="Q49" s="61">
        <v>7800</v>
      </c>
      <c r="R49" s="38" t="s">
        <v>383</v>
      </c>
      <c r="S49" s="38" t="s">
        <v>384</v>
      </c>
      <c r="T49" s="38" t="s">
        <v>383</v>
      </c>
      <c r="U49" s="38" t="s">
        <v>385</v>
      </c>
    </row>
    <row r="50" s="2" customFormat="1" ht="150" customHeight="1" spans="1:21">
      <c r="A50" s="11">
        <v>29</v>
      </c>
      <c r="B50" s="15" t="s">
        <v>29</v>
      </c>
      <c r="C50" s="14" t="s">
        <v>386</v>
      </c>
      <c r="D50" s="15" t="s">
        <v>387</v>
      </c>
      <c r="E50" s="24" t="s">
        <v>154</v>
      </c>
      <c r="F50" s="14" t="s">
        <v>388</v>
      </c>
      <c r="G50" s="19">
        <v>50</v>
      </c>
      <c r="H50" s="11" t="s">
        <v>389</v>
      </c>
      <c r="I50" s="27" t="s">
        <v>220</v>
      </c>
      <c r="J50" s="28">
        <v>4.03571428571429</v>
      </c>
      <c r="K50" s="32" t="s">
        <v>390</v>
      </c>
      <c r="L50" s="33">
        <v>7.93103448275862</v>
      </c>
      <c r="M50" s="28">
        <v>16.0357142857143</v>
      </c>
      <c r="N50" s="28">
        <v>120</v>
      </c>
      <c r="O50" s="28">
        <v>60</v>
      </c>
      <c r="P50" s="59">
        <v>23793.1034482759</v>
      </c>
      <c r="Q50" s="61">
        <v>36000</v>
      </c>
      <c r="R50" s="38" t="s">
        <v>391</v>
      </c>
      <c r="S50" s="38" t="s">
        <v>392</v>
      </c>
      <c r="T50" s="38" t="s">
        <v>391</v>
      </c>
      <c r="U50" s="38" t="s">
        <v>393</v>
      </c>
    </row>
    <row r="51" s="2" customFormat="1" ht="150" customHeight="1" spans="1:21">
      <c r="A51" s="11"/>
      <c r="B51" s="15"/>
      <c r="C51" s="14"/>
      <c r="D51" s="15"/>
      <c r="E51" s="25"/>
      <c r="F51" s="14" t="s">
        <v>388</v>
      </c>
      <c r="G51" s="19">
        <v>50</v>
      </c>
      <c r="H51" s="11" t="s">
        <v>394</v>
      </c>
      <c r="I51" s="27"/>
      <c r="J51" s="28"/>
      <c r="K51" s="32" t="s">
        <v>395</v>
      </c>
      <c r="L51" s="33">
        <v>4.06896551724138</v>
      </c>
      <c r="M51" s="28"/>
      <c r="N51" s="28">
        <v>120</v>
      </c>
      <c r="O51" s="28">
        <v>60</v>
      </c>
      <c r="P51" s="59">
        <v>12206.8965517241</v>
      </c>
      <c r="Q51" s="61"/>
      <c r="R51" s="38"/>
      <c r="S51" s="38"/>
      <c r="T51" s="38"/>
      <c r="U51" s="38"/>
    </row>
    <row r="52" s="2" customFormat="1" ht="150" customHeight="1" spans="1:21">
      <c r="A52" s="11">
        <v>30</v>
      </c>
      <c r="B52" s="15" t="s">
        <v>30</v>
      </c>
      <c r="C52" s="14" t="s">
        <v>396</v>
      </c>
      <c r="D52" s="15" t="s">
        <v>397</v>
      </c>
      <c r="E52" s="17" t="s">
        <v>154</v>
      </c>
      <c r="F52" s="14" t="s">
        <v>398</v>
      </c>
      <c r="G52" s="19">
        <v>118</v>
      </c>
      <c r="H52" s="11" t="s">
        <v>399</v>
      </c>
      <c r="I52" s="27" t="s">
        <v>220</v>
      </c>
      <c r="J52" s="28">
        <v>10.7741935483871</v>
      </c>
      <c r="K52" s="32" t="s">
        <v>400</v>
      </c>
      <c r="L52" s="33">
        <v>0.9</v>
      </c>
      <c r="M52" s="28">
        <v>22.7741935483871</v>
      </c>
      <c r="N52" s="28">
        <v>118.5</v>
      </c>
      <c r="O52" s="28">
        <f>N52*0.5</f>
        <v>59.25</v>
      </c>
      <c r="P52" s="59">
        <v>6292.35</v>
      </c>
      <c r="Q52" s="61">
        <v>73569</v>
      </c>
      <c r="R52" s="38" t="s">
        <v>401</v>
      </c>
      <c r="S52" s="38" t="s">
        <v>402</v>
      </c>
      <c r="T52" s="38" t="s">
        <v>401</v>
      </c>
      <c r="U52" s="38" t="s">
        <v>403</v>
      </c>
    </row>
    <row r="53" s="2" customFormat="1" ht="150" customHeight="1" spans="1:21">
      <c r="A53" s="11"/>
      <c r="B53" s="15"/>
      <c r="C53" s="14"/>
      <c r="D53" s="15"/>
      <c r="E53" s="20"/>
      <c r="F53" s="14" t="s">
        <v>398</v>
      </c>
      <c r="G53" s="19">
        <v>118</v>
      </c>
      <c r="H53" s="11" t="s">
        <v>399</v>
      </c>
      <c r="I53" s="27"/>
      <c r="J53" s="28"/>
      <c r="K53" s="32" t="s">
        <v>404</v>
      </c>
      <c r="L53" s="33">
        <v>2.51612903225806</v>
      </c>
      <c r="M53" s="28"/>
      <c r="N53" s="28">
        <v>118.5</v>
      </c>
      <c r="O53" s="28">
        <f>N53*0.5</f>
        <v>59.25</v>
      </c>
      <c r="P53" s="59">
        <v>17591.5161290323</v>
      </c>
      <c r="Q53" s="61"/>
      <c r="R53" s="38"/>
      <c r="S53" s="38"/>
      <c r="T53" s="38"/>
      <c r="U53" s="38"/>
    </row>
    <row r="54" s="2" customFormat="1" ht="150" customHeight="1" spans="1:21">
      <c r="A54" s="11"/>
      <c r="B54" s="15"/>
      <c r="C54" s="14"/>
      <c r="D54" s="15"/>
      <c r="E54" s="20"/>
      <c r="F54" s="14" t="s">
        <v>398</v>
      </c>
      <c r="G54" s="19">
        <v>118</v>
      </c>
      <c r="H54" s="11" t="s">
        <v>399</v>
      </c>
      <c r="I54" s="27"/>
      <c r="J54" s="28"/>
      <c r="K54" s="32" t="s">
        <v>206</v>
      </c>
      <c r="L54" s="33">
        <v>6.48387096774194</v>
      </c>
      <c r="M54" s="28"/>
      <c r="N54" s="28">
        <v>120</v>
      </c>
      <c r="O54" s="28">
        <v>60</v>
      </c>
      <c r="P54" s="59">
        <v>45905.8064516129</v>
      </c>
      <c r="Q54" s="61"/>
      <c r="R54" s="38"/>
      <c r="S54" s="38"/>
      <c r="T54" s="38"/>
      <c r="U54" s="38"/>
    </row>
    <row r="55" s="2" customFormat="1" ht="150" customHeight="1" spans="1:21">
      <c r="A55" s="11"/>
      <c r="B55" s="15"/>
      <c r="C55" s="14"/>
      <c r="D55" s="15"/>
      <c r="E55" s="18"/>
      <c r="F55" s="14" t="s">
        <v>405</v>
      </c>
      <c r="G55" s="19">
        <v>30</v>
      </c>
      <c r="H55" s="11" t="s">
        <v>406</v>
      </c>
      <c r="I55" s="27"/>
      <c r="J55" s="28"/>
      <c r="K55" s="32" t="s">
        <v>407</v>
      </c>
      <c r="L55" s="33">
        <v>2.1</v>
      </c>
      <c r="M55" s="28"/>
      <c r="N55" s="28">
        <v>158.38</v>
      </c>
      <c r="O55" s="28">
        <v>60</v>
      </c>
      <c r="P55" s="59">
        <v>3780</v>
      </c>
      <c r="Q55" s="61"/>
      <c r="R55" s="38"/>
      <c r="S55" s="38"/>
      <c r="T55" s="38"/>
      <c r="U55" s="38"/>
    </row>
    <row r="56" s="2" customFormat="1" ht="300" customHeight="1" spans="1:21">
      <c r="A56" s="11">
        <v>31</v>
      </c>
      <c r="B56" s="11" t="s">
        <v>31</v>
      </c>
      <c r="C56" s="14" t="s">
        <v>408</v>
      </c>
      <c r="D56" s="14" t="s">
        <v>409</v>
      </c>
      <c r="E56" s="17" t="s">
        <v>154</v>
      </c>
      <c r="F56" s="14" t="s">
        <v>408</v>
      </c>
      <c r="G56" s="16">
        <v>8</v>
      </c>
      <c r="H56" s="11" t="s">
        <v>410</v>
      </c>
      <c r="I56" s="27" t="s">
        <v>157</v>
      </c>
      <c r="J56" s="28">
        <v>0</v>
      </c>
      <c r="K56" s="19" t="s">
        <v>411</v>
      </c>
      <c r="L56" s="16">
        <v>10</v>
      </c>
      <c r="M56" s="28">
        <v>10</v>
      </c>
      <c r="N56" s="28">
        <v>187.5</v>
      </c>
      <c r="O56" s="28">
        <v>60</v>
      </c>
      <c r="P56" s="58">
        <v>4800</v>
      </c>
      <c r="Q56" s="61">
        <v>4800</v>
      </c>
      <c r="R56" s="38" t="s">
        <v>412</v>
      </c>
      <c r="S56" s="38" t="s">
        <v>413</v>
      </c>
      <c r="T56" s="38" t="s">
        <v>412</v>
      </c>
      <c r="U56" s="38" t="s">
        <v>414</v>
      </c>
    </row>
    <row r="57" s="2" customFormat="1" ht="300" customHeight="1" spans="1:21">
      <c r="A57" s="11">
        <v>32</v>
      </c>
      <c r="B57" s="11" t="s">
        <v>32</v>
      </c>
      <c r="C57" s="14" t="s">
        <v>415</v>
      </c>
      <c r="D57" s="14" t="s">
        <v>416</v>
      </c>
      <c r="E57" s="13" t="s">
        <v>154</v>
      </c>
      <c r="F57" s="14" t="s">
        <v>415</v>
      </c>
      <c r="G57" s="16">
        <v>8</v>
      </c>
      <c r="H57" s="11" t="s">
        <v>417</v>
      </c>
      <c r="I57" s="27" t="s">
        <v>157</v>
      </c>
      <c r="J57" s="28">
        <v>0</v>
      </c>
      <c r="K57" s="19" t="s">
        <v>418</v>
      </c>
      <c r="L57" s="16">
        <v>5.97741935483871</v>
      </c>
      <c r="M57" s="28">
        <v>5.97741935483871</v>
      </c>
      <c r="N57" s="28">
        <v>187.5</v>
      </c>
      <c r="O57" s="28">
        <v>60</v>
      </c>
      <c r="P57" s="58">
        <v>2869.16129032258</v>
      </c>
      <c r="Q57" s="61">
        <v>2869</v>
      </c>
      <c r="R57" s="38" t="s">
        <v>419</v>
      </c>
      <c r="S57" s="38" t="s">
        <v>420</v>
      </c>
      <c r="T57" s="38" t="s">
        <v>419</v>
      </c>
      <c r="U57" s="38" t="s">
        <v>421</v>
      </c>
    </row>
    <row r="58" s="2" customFormat="1" ht="300" customHeight="1" spans="1:21">
      <c r="A58" s="11">
        <v>33</v>
      </c>
      <c r="B58" s="11" t="s">
        <v>33</v>
      </c>
      <c r="C58" s="14" t="s">
        <v>422</v>
      </c>
      <c r="D58" s="14" t="s">
        <v>423</v>
      </c>
      <c r="E58" s="13" t="s">
        <v>154</v>
      </c>
      <c r="F58" s="14" t="s">
        <v>422</v>
      </c>
      <c r="G58" s="16">
        <v>98</v>
      </c>
      <c r="H58" s="11" t="s">
        <v>424</v>
      </c>
      <c r="I58" s="27" t="s">
        <v>157</v>
      </c>
      <c r="J58" s="28">
        <v>0</v>
      </c>
      <c r="K58" s="19" t="s">
        <v>425</v>
      </c>
      <c r="L58" s="16">
        <v>11</v>
      </c>
      <c r="M58" s="28">
        <v>11</v>
      </c>
      <c r="N58" s="28">
        <v>173.469387755102</v>
      </c>
      <c r="O58" s="28">
        <v>60</v>
      </c>
      <c r="P58" s="58">
        <v>64680</v>
      </c>
      <c r="Q58" s="61">
        <v>64680</v>
      </c>
      <c r="R58" s="38" t="s">
        <v>426</v>
      </c>
      <c r="S58" s="38" t="s">
        <v>427</v>
      </c>
      <c r="T58" s="38" t="s">
        <v>426</v>
      </c>
      <c r="U58" s="38" t="s">
        <v>428</v>
      </c>
    </row>
    <row r="59" s="2" customFormat="1" ht="300" customHeight="1" spans="1:21">
      <c r="A59" s="11">
        <v>34</v>
      </c>
      <c r="B59" s="11" t="s">
        <v>34</v>
      </c>
      <c r="C59" s="11" t="s">
        <v>429</v>
      </c>
      <c r="D59" s="11" t="s">
        <v>430</v>
      </c>
      <c r="E59" s="13" t="s">
        <v>154</v>
      </c>
      <c r="F59" s="11" t="s">
        <v>431</v>
      </c>
      <c r="G59" s="26">
        <v>399.89</v>
      </c>
      <c r="H59" s="11" t="s">
        <v>432</v>
      </c>
      <c r="I59" s="27" t="s">
        <v>220</v>
      </c>
      <c r="J59" s="28">
        <v>7</v>
      </c>
      <c r="K59" s="27" t="s">
        <v>359</v>
      </c>
      <c r="L59" s="26">
        <v>12</v>
      </c>
      <c r="M59" s="28">
        <v>19</v>
      </c>
      <c r="N59" s="28">
        <v>173</v>
      </c>
      <c r="O59" s="28">
        <v>60</v>
      </c>
      <c r="P59" s="60">
        <v>287920.8</v>
      </c>
      <c r="Q59" s="61">
        <v>287920</v>
      </c>
      <c r="R59" s="38" t="s">
        <v>433</v>
      </c>
      <c r="S59" s="38" t="s">
        <v>434</v>
      </c>
      <c r="T59" s="38" t="s">
        <v>433</v>
      </c>
      <c r="U59" s="38" t="s">
        <v>435</v>
      </c>
    </row>
    <row r="60" s="2" customFormat="1" ht="300" customHeight="1" spans="1:21">
      <c r="A60" s="11">
        <v>35</v>
      </c>
      <c r="B60" s="11" t="s">
        <v>35</v>
      </c>
      <c r="C60" s="11" t="s">
        <v>436</v>
      </c>
      <c r="D60" s="11" t="s">
        <v>437</v>
      </c>
      <c r="E60" s="13" t="s">
        <v>154</v>
      </c>
      <c r="F60" s="11" t="s">
        <v>438</v>
      </c>
      <c r="G60" s="26">
        <v>10</v>
      </c>
      <c r="H60" s="11" t="s">
        <v>257</v>
      </c>
      <c r="I60" s="27" t="s">
        <v>157</v>
      </c>
      <c r="J60" s="28">
        <v>0</v>
      </c>
      <c r="K60" s="27" t="s">
        <v>206</v>
      </c>
      <c r="L60" s="26">
        <v>6.48387096774194</v>
      </c>
      <c r="M60" s="28">
        <v>6.48387096774194</v>
      </c>
      <c r="N60" s="28">
        <v>150</v>
      </c>
      <c r="O60" s="28">
        <v>60</v>
      </c>
      <c r="P60" s="60">
        <v>3890.32258064516</v>
      </c>
      <c r="Q60" s="61">
        <v>3890</v>
      </c>
      <c r="R60" s="38" t="s">
        <v>439</v>
      </c>
      <c r="S60" s="38" t="s">
        <v>440</v>
      </c>
      <c r="T60" s="38" t="s">
        <v>439</v>
      </c>
      <c r="U60" s="38" t="s">
        <v>441</v>
      </c>
    </row>
    <row r="61" s="2" customFormat="1" ht="150" customHeight="1" spans="1:21">
      <c r="A61" s="11">
        <v>36</v>
      </c>
      <c r="B61" s="11" t="s">
        <v>36</v>
      </c>
      <c r="C61" s="11" t="s">
        <v>442</v>
      </c>
      <c r="D61" s="11" t="s">
        <v>443</v>
      </c>
      <c r="E61" s="17" t="s">
        <v>154</v>
      </c>
      <c r="F61" s="11" t="s">
        <v>444</v>
      </c>
      <c r="G61" s="26">
        <v>10</v>
      </c>
      <c r="H61" s="11" t="s">
        <v>445</v>
      </c>
      <c r="I61" s="27" t="s">
        <v>157</v>
      </c>
      <c r="J61" s="28">
        <v>0</v>
      </c>
      <c r="K61" s="27" t="s">
        <v>446</v>
      </c>
      <c r="L61" s="26">
        <v>3</v>
      </c>
      <c r="M61" s="28">
        <v>6.48387096774194</v>
      </c>
      <c r="N61" s="28">
        <v>150</v>
      </c>
      <c r="O61" s="28">
        <v>60</v>
      </c>
      <c r="P61" s="60">
        <v>1800</v>
      </c>
      <c r="Q61" s="61">
        <v>3890</v>
      </c>
      <c r="R61" s="38" t="s">
        <v>439</v>
      </c>
      <c r="S61" s="38" t="s">
        <v>440</v>
      </c>
      <c r="T61" s="38" t="s">
        <v>439</v>
      </c>
      <c r="U61" s="38" t="s">
        <v>441</v>
      </c>
    </row>
    <row r="62" s="2" customFormat="1" ht="150" customHeight="1" spans="1:21">
      <c r="A62" s="11"/>
      <c r="B62" s="11"/>
      <c r="C62" s="11"/>
      <c r="D62" s="11"/>
      <c r="E62" s="18"/>
      <c r="F62" s="11" t="s">
        <v>438</v>
      </c>
      <c r="G62" s="26">
        <v>10</v>
      </c>
      <c r="H62" s="11" t="s">
        <v>257</v>
      </c>
      <c r="I62" s="27"/>
      <c r="J62" s="28"/>
      <c r="K62" s="27" t="s">
        <v>447</v>
      </c>
      <c r="L62" s="26">
        <v>3.48387096774194</v>
      </c>
      <c r="M62" s="28"/>
      <c r="N62" s="28">
        <v>150</v>
      </c>
      <c r="O62" s="28">
        <v>60</v>
      </c>
      <c r="P62" s="60">
        <v>2090.32258064516</v>
      </c>
      <c r="Q62" s="61"/>
      <c r="R62" s="38"/>
      <c r="S62" s="38"/>
      <c r="T62" s="38"/>
      <c r="U62" s="38"/>
    </row>
    <row r="63" s="2" customFormat="1" ht="300" customHeight="1" spans="1:21">
      <c r="A63" s="11">
        <v>37</v>
      </c>
      <c r="B63" s="11" t="s">
        <v>37</v>
      </c>
      <c r="C63" s="11" t="s">
        <v>448</v>
      </c>
      <c r="D63" s="11" t="s">
        <v>449</v>
      </c>
      <c r="E63" s="13" t="s">
        <v>154</v>
      </c>
      <c r="F63" s="11" t="s">
        <v>450</v>
      </c>
      <c r="G63" s="26">
        <v>10</v>
      </c>
      <c r="H63" s="11" t="s">
        <v>451</v>
      </c>
      <c r="I63" s="27" t="s">
        <v>157</v>
      </c>
      <c r="J63" s="28">
        <v>0</v>
      </c>
      <c r="K63" s="27" t="s">
        <v>452</v>
      </c>
      <c r="L63" s="26">
        <v>15.8387096774194</v>
      </c>
      <c r="M63" s="28">
        <v>15.8387096774194</v>
      </c>
      <c r="N63" s="28">
        <v>150</v>
      </c>
      <c r="O63" s="28">
        <v>60</v>
      </c>
      <c r="P63" s="60">
        <v>9503.22580645161</v>
      </c>
      <c r="Q63" s="61">
        <v>9503</v>
      </c>
      <c r="R63" s="38" t="s">
        <v>453</v>
      </c>
      <c r="S63" s="38" t="s">
        <v>454</v>
      </c>
      <c r="T63" s="38" t="s">
        <v>453</v>
      </c>
      <c r="U63" s="38" t="s">
        <v>455</v>
      </c>
    </row>
    <row r="64" s="2" customFormat="1" ht="120" customHeight="1" spans="1:21">
      <c r="A64" s="11">
        <v>38</v>
      </c>
      <c r="B64" s="11" t="s">
        <v>38</v>
      </c>
      <c r="C64" s="11" t="s">
        <v>456</v>
      </c>
      <c r="D64" s="11" t="s">
        <v>457</v>
      </c>
      <c r="E64" s="17" t="s">
        <v>154</v>
      </c>
      <c r="F64" s="11" t="s">
        <v>458</v>
      </c>
      <c r="G64" s="26">
        <v>83.65</v>
      </c>
      <c r="H64" s="11" t="s">
        <v>272</v>
      </c>
      <c r="I64" s="27" t="s">
        <v>157</v>
      </c>
      <c r="J64" s="28">
        <v>0</v>
      </c>
      <c r="K64" s="27" t="s">
        <v>273</v>
      </c>
      <c r="L64" s="26">
        <v>3</v>
      </c>
      <c r="M64" s="28">
        <v>5</v>
      </c>
      <c r="N64" s="28">
        <v>80</v>
      </c>
      <c r="O64" s="28">
        <f t="shared" ref="O64:O68" si="3">N64*0.5</f>
        <v>40</v>
      </c>
      <c r="P64" s="60">
        <v>10038</v>
      </c>
      <c r="Q64" s="61">
        <v>75522</v>
      </c>
      <c r="R64" s="38" t="s">
        <v>459</v>
      </c>
      <c r="S64" s="38" t="s">
        <v>460</v>
      </c>
      <c r="T64" s="38" t="s">
        <v>459</v>
      </c>
      <c r="U64" s="38" t="s">
        <v>461</v>
      </c>
    </row>
    <row r="65" s="2" customFormat="1" ht="120" customHeight="1" spans="1:21">
      <c r="A65" s="11"/>
      <c r="B65" s="11"/>
      <c r="C65" s="11"/>
      <c r="D65" s="11"/>
      <c r="E65" s="20"/>
      <c r="F65" s="11" t="s">
        <v>462</v>
      </c>
      <c r="G65" s="26">
        <v>41.4</v>
      </c>
      <c r="H65" s="11" t="s">
        <v>463</v>
      </c>
      <c r="I65" s="27"/>
      <c r="J65" s="28"/>
      <c r="K65" s="27" t="s">
        <v>314</v>
      </c>
      <c r="L65" s="26">
        <v>5</v>
      </c>
      <c r="M65" s="28"/>
      <c r="N65" s="28">
        <v>80</v>
      </c>
      <c r="O65" s="28">
        <f t="shared" si="3"/>
        <v>40</v>
      </c>
      <c r="P65" s="60">
        <v>8280</v>
      </c>
      <c r="Q65" s="61"/>
      <c r="R65" s="38"/>
      <c r="S65" s="38"/>
      <c r="T65" s="38"/>
      <c r="U65" s="38"/>
    </row>
    <row r="66" s="2" customFormat="1" ht="120" customHeight="1" spans="1:21">
      <c r="A66" s="11"/>
      <c r="B66" s="11"/>
      <c r="C66" s="11"/>
      <c r="D66" s="11"/>
      <c r="E66" s="20"/>
      <c r="F66" s="11" t="s">
        <v>464</v>
      </c>
      <c r="G66" s="26">
        <v>127.38</v>
      </c>
      <c r="H66" s="11" t="s">
        <v>329</v>
      </c>
      <c r="I66" s="27"/>
      <c r="J66" s="28"/>
      <c r="K66" s="27" t="s">
        <v>320</v>
      </c>
      <c r="L66" s="26">
        <v>4</v>
      </c>
      <c r="M66" s="28"/>
      <c r="N66" s="28">
        <v>80</v>
      </c>
      <c r="O66" s="28">
        <f t="shared" si="3"/>
        <v>40</v>
      </c>
      <c r="P66" s="60">
        <v>20380.8</v>
      </c>
      <c r="Q66" s="61"/>
      <c r="R66" s="38"/>
      <c r="S66" s="38"/>
      <c r="T66" s="38"/>
      <c r="U66" s="38"/>
    </row>
    <row r="67" s="2" customFormat="1" ht="120" customHeight="1" spans="1:21">
      <c r="A67" s="11"/>
      <c r="B67" s="11"/>
      <c r="C67" s="11"/>
      <c r="D67" s="11"/>
      <c r="E67" s="20"/>
      <c r="F67" s="11" t="s">
        <v>465</v>
      </c>
      <c r="G67" s="26">
        <v>90.77</v>
      </c>
      <c r="H67" s="11" t="s">
        <v>466</v>
      </c>
      <c r="I67" s="27"/>
      <c r="J67" s="28"/>
      <c r="K67" s="27" t="s">
        <v>314</v>
      </c>
      <c r="L67" s="26">
        <v>5</v>
      </c>
      <c r="M67" s="28"/>
      <c r="N67" s="28">
        <v>80</v>
      </c>
      <c r="O67" s="28">
        <f t="shared" si="3"/>
        <v>40</v>
      </c>
      <c r="P67" s="60">
        <v>18154</v>
      </c>
      <c r="Q67" s="61"/>
      <c r="R67" s="38"/>
      <c r="S67" s="38"/>
      <c r="T67" s="38"/>
      <c r="U67" s="38"/>
    </row>
    <row r="68" s="2" customFormat="1" ht="120" customHeight="1" spans="1:21">
      <c r="A68" s="11"/>
      <c r="B68" s="11"/>
      <c r="C68" s="11"/>
      <c r="D68" s="11"/>
      <c r="E68" s="18"/>
      <c r="F68" s="11" t="s">
        <v>467</v>
      </c>
      <c r="G68" s="26">
        <v>93.35</v>
      </c>
      <c r="H68" s="11" t="s">
        <v>291</v>
      </c>
      <c r="I68" s="27"/>
      <c r="J68" s="28"/>
      <c r="K68" s="27" t="s">
        <v>314</v>
      </c>
      <c r="L68" s="26">
        <v>5</v>
      </c>
      <c r="M68" s="28"/>
      <c r="N68" s="28">
        <v>80</v>
      </c>
      <c r="O68" s="28">
        <f t="shared" si="3"/>
        <v>40</v>
      </c>
      <c r="P68" s="60">
        <v>18670</v>
      </c>
      <c r="Q68" s="61"/>
      <c r="R68" s="38"/>
      <c r="S68" s="38"/>
      <c r="T68" s="38"/>
      <c r="U68" s="38"/>
    </row>
    <row r="69" s="2" customFormat="1" ht="300" customHeight="1" spans="1:21">
      <c r="A69" s="11">
        <v>39</v>
      </c>
      <c r="B69" s="11" t="s">
        <v>39</v>
      </c>
      <c r="C69" s="14" t="s">
        <v>468</v>
      </c>
      <c r="D69" s="14" t="s">
        <v>469</v>
      </c>
      <c r="E69" s="14" t="s">
        <v>154</v>
      </c>
      <c r="F69" s="14" t="s">
        <v>470</v>
      </c>
      <c r="G69" s="16">
        <v>8</v>
      </c>
      <c r="H69" s="11" t="s">
        <v>417</v>
      </c>
      <c r="I69" s="27" t="s">
        <v>157</v>
      </c>
      <c r="J69" s="28">
        <v>0</v>
      </c>
      <c r="K69" s="19" t="s">
        <v>418</v>
      </c>
      <c r="L69" s="16">
        <v>5.97741935483871</v>
      </c>
      <c r="M69" s="28">
        <v>5.97741935483871</v>
      </c>
      <c r="N69" s="28">
        <v>139</v>
      </c>
      <c r="O69" s="28">
        <v>60</v>
      </c>
      <c r="P69" s="58">
        <v>2869.16129032258</v>
      </c>
      <c r="Q69" s="61">
        <v>2869</v>
      </c>
      <c r="R69" s="38" t="s">
        <v>419</v>
      </c>
      <c r="S69" s="38" t="s">
        <v>420</v>
      </c>
      <c r="T69" s="38" t="s">
        <v>419</v>
      </c>
      <c r="U69" s="38" t="s">
        <v>421</v>
      </c>
    </row>
    <row r="70" s="2" customFormat="1" ht="150" customHeight="1" spans="1:21">
      <c r="A70" s="11">
        <v>40</v>
      </c>
      <c r="B70" s="11" t="s">
        <v>40</v>
      </c>
      <c r="C70" s="14" t="s">
        <v>471</v>
      </c>
      <c r="D70" s="11" t="s">
        <v>472</v>
      </c>
      <c r="E70" s="17" t="s">
        <v>154</v>
      </c>
      <c r="F70" s="11" t="s">
        <v>473</v>
      </c>
      <c r="G70" s="26">
        <v>297.78</v>
      </c>
      <c r="H70" s="11" t="s">
        <v>474</v>
      </c>
      <c r="I70" s="27" t="s">
        <v>220</v>
      </c>
      <c r="J70" s="28">
        <v>9.5</v>
      </c>
      <c r="K70" s="19" t="s">
        <v>475</v>
      </c>
      <c r="L70" s="16">
        <v>7</v>
      </c>
      <c r="M70" s="28">
        <v>21.5</v>
      </c>
      <c r="N70" s="28">
        <v>139</v>
      </c>
      <c r="O70" s="28">
        <v>60</v>
      </c>
      <c r="P70" s="58">
        <v>125067.6</v>
      </c>
      <c r="Q70" s="61">
        <v>300000</v>
      </c>
      <c r="R70" s="38" t="s">
        <v>476</v>
      </c>
      <c r="S70" s="38" t="s">
        <v>477</v>
      </c>
      <c r="T70" s="38" t="s">
        <v>476</v>
      </c>
      <c r="U70" s="38" t="s">
        <v>478</v>
      </c>
    </row>
    <row r="71" s="2" customFormat="1" ht="150" customHeight="1" spans="1:21">
      <c r="A71" s="11"/>
      <c r="B71" s="11"/>
      <c r="C71" s="14"/>
      <c r="D71" s="11"/>
      <c r="E71" s="20"/>
      <c r="F71" s="11" t="s">
        <v>479</v>
      </c>
      <c r="G71" s="26">
        <v>297.78</v>
      </c>
      <c r="H71" s="11" t="s">
        <v>474</v>
      </c>
      <c r="I71" s="27"/>
      <c r="J71" s="28"/>
      <c r="K71" s="19" t="s">
        <v>475</v>
      </c>
      <c r="L71" s="16">
        <v>7</v>
      </c>
      <c r="M71" s="28"/>
      <c r="N71" s="28">
        <v>139</v>
      </c>
      <c r="O71" s="28">
        <v>60</v>
      </c>
      <c r="P71" s="58">
        <v>125067.6</v>
      </c>
      <c r="Q71" s="61"/>
      <c r="R71" s="38"/>
      <c r="S71" s="38"/>
      <c r="T71" s="38"/>
      <c r="U71" s="38"/>
    </row>
    <row r="72" s="2" customFormat="1" ht="150" customHeight="1" spans="1:21">
      <c r="A72" s="11"/>
      <c r="B72" s="11"/>
      <c r="C72" s="14"/>
      <c r="D72" s="11"/>
      <c r="E72" s="18"/>
      <c r="F72" s="11" t="s">
        <v>480</v>
      </c>
      <c r="G72" s="26">
        <v>380.68</v>
      </c>
      <c r="H72" s="11" t="s">
        <v>481</v>
      </c>
      <c r="I72" s="27"/>
      <c r="J72" s="28"/>
      <c r="K72" s="19" t="s">
        <v>314</v>
      </c>
      <c r="L72" s="16">
        <v>5</v>
      </c>
      <c r="M72" s="28"/>
      <c r="N72" s="28">
        <v>147.47</v>
      </c>
      <c r="O72" s="28">
        <v>60</v>
      </c>
      <c r="P72" s="58">
        <v>114204</v>
      </c>
      <c r="Q72" s="61"/>
      <c r="R72" s="38"/>
      <c r="S72" s="38"/>
      <c r="T72" s="38"/>
      <c r="U72" s="38"/>
    </row>
    <row r="73" s="2" customFormat="1" ht="150" customHeight="1" spans="1:21">
      <c r="A73" s="11">
        <v>41</v>
      </c>
      <c r="B73" s="14" t="s">
        <v>41</v>
      </c>
      <c r="C73" s="14" t="s">
        <v>482</v>
      </c>
      <c r="D73" s="14" t="s">
        <v>483</v>
      </c>
      <c r="E73" s="17" t="s">
        <v>154</v>
      </c>
      <c r="F73" s="14" t="s">
        <v>484</v>
      </c>
      <c r="G73" s="19">
        <v>40</v>
      </c>
      <c r="H73" s="11" t="s">
        <v>485</v>
      </c>
      <c r="I73" s="27" t="s">
        <v>157</v>
      </c>
      <c r="J73" s="28">
        <v>0</v>
      </c>
      <c r="K73" s="19" t="s">
        <v>485</v>
      </c>
      <c r="L73" s="16">
        <v>11.9802955665025</v>
      </c>
      <c r="M73" s="28">
        <v>16.4285714285715</v>
      </c>
      <c r="N73" s="28">
        <v>187.5</v>
      </c>
      <c r="O73" s="28">
        <v>60</v>
      </c>
      <c r="P73" s="58">
        <v>28752.7093596059</v>
      </c>
      <c r="Q73" s="61">
        <v>51098</v>
      </c>
      <c r="R73" s="38" t="s">
        <v>486</v>
      </c>
      <c r="S73" s="38" t="s">
        <v>487</v>
      </c>
      <c r="T73" s="38" t="s">
        <v>486</v>
      </c>
      <c r="U73" s="38" t="s">
        <v>488</v>
      </c>
    </row>
    <row r="74" s="2" customFormat="1" ht="150" customHeight="1" spans="1:21">
      <c r="A74" s="11"/>
      <c r="B74" s="14"/>
      <c r="C74" s="14"/>
      <c r="D74" s="14"/>
      <c r="E74" s="20"/>
      <c r="F74" s="14" t="s">
        <v>489</v>
      </c>
      <c r="G74" s="19">
        <v>16</v>
      </c>
      <c r="H74" s="11" t="s">
        <v>490</v>
      </c>
      <c r="I74" s="27"/>
      <c r="J74" s="28"/>
      <c r="K74" s="19" t="s">
        <v>490</v>
      </c>
      <c r="L74" s="16">
        <v>1.03559510567297</v>
      </c>
      <c r="M74" s="28"/>
      <c r="N74" s="28">
        <v>183.875</v>
      </c>
      <c r="O74" s="28">
        <v>60</v>
      </c>
      <c r="P74" s="58">
        <v>994.171301446051</v>
      </c>
      <c r="Q74" s="61"/>
      <c r="R74" s="38"/>
      <c r="S74" s="38"/>
      <c r="T74" s="38"/>
      <c r="U74" s="38"/>
    </row>
    <row r="75" s="2" customFormat="1" ht="150" customHeight="1" spans="1:21">
      <c r="A75" s="11"/>
      <c r="B75" s="14"/>
      <c r="C75" s="14"/>
      <c r="D75" s="14"/>
      <c r="E75" s="18"/>
      <c r="F75" s="14" t="s">
        <v>491</v>
      </c>
      <c r="G75" s="19">
        <v>80</v>
      </c>
      <c r="H75" s="11" t="s">
        <v>492</v>
      </c>
      <c r="I75" s="27"/>
      <c r="J75" s="28"/>
      <c r="K75" s="19" t="s">
        <v>493</v>
      </c>
      <c r="L75" s="16">
        <v>4.44827586206897</v>
      </c>
      <c r="M75" s="28"/>
      <c r="N75" s="28">
        <v>187.5</v>
      </c>
      <c r="O75" s="28">
        <v>60</v>
      </c>
      <c r="P75" s="58">
        <v>21351.724137931</v>
      </c>
      <c r="Q75" s="61"/>
      <c r="R75" s="38"/>
      <c r="S75" s="38"/>
      <c r="T75" s="38"/>
      <c r="U75" s="38"/>
    </row>
    <row r="76" s="2" customFormat="1" ht="150" customHeight="1" spans="1:21">
      <c r="A76" s="11">
        <v>42</v>
      </c>
      <c r="B76" s="14" t="s">
        <v>42</v>
      </c>
      <c r="C76" s="14" t="s">
        <v>494</v>
      </c>
      <c r="D76" s="14" t="s">
        <v>495</v>
      </c>
      <c r="E76" s="17" t="s">
        <v>154</v>
      </c>
      <c r="F76" s="14" t="s">
        <v>496</v>
      </c>
      <c r="G76" s="19">
        <v>1193.92</v>
      </c>
      <c r="H76" s="11" t="s">
        <v>497</v>
      </c>
      <c r="I76" s="27" t="s">
        <v>220</v>
      </c>
      <c r="J76" s="28">
        <v>9</v>
      </c>
      <c r="K76" s="19" t="s">
        <v>497</v>
      </c>
      <c r="L76" s="16">
        <v>5</v>
      </c>
      <c r="M76" s="28">
        <v>21</v>
      </c>
      <c r="N76" s="28">
        <v>139</v>
      </c>
      <c r="O76" s="28">
        <v>60</v>
      </c>
      <c r="P76" s="63">
        <f>G76*L76*60</f>
        <v>358176</v>
      </c>
      <c r="Q76" s="61">
        <v>300000</v>
      </c>
      <c r="R76" s="38" t="s">
        <v>476</v>
      </c>
      <c r="S76" s="38" t="s">
        <v>477</v>
      </c>
      <c r="T76" s="38" t="s">
        <v>476</v>
      </c>
      <c r="U76" s="38" t="s">
        <v>478</v>
      </c>
    </row>
    <row r="77" s="2" customFormat="1" ht="150" customHeight="1" spans="1:21">
      <c r="A77" s="11"/>
      <c r="B77" s="14"/>
      <c r="C77" s="14"/>
      <c r="D77" s="14"/>
      <c r="E77" s="20"/>
      <c r="F77" s="14" t="s">
        <v>498</v>
      </c>
      <c r="G77" s="19">
        <v>878.92</v>
      </c>
      <c r="H77" s="11" t="s">
        <v>499</v>
      </c>
      <c r="I77" s="27"/>
      <c r="J77" s="28"/>
      <c r="K77" s="19" t="s">
        <v>499</v>
      </c>
      <c r="L77" s="16">
        <v>7</v>
      </c>
      <c r="M77" s="28"/>
      <c r="N77" s="28">
        <v>139</v>
      </c>
      <c r="O77" s="28">
        <v>60</v>
      </c>
      <c r="P77" s="63">
        <f t="shared" ref="P76:P79" si="4">G77*L77*60</f>
        <v>369146.4</v>
      </c>
      <c r="Q77" s="61"/>
      <c r="R77" s="38"/>
      <c r="S77" s="38"/>
      <c r="T77" s="38"/>
      <c r="U77" s="38"/>
    </row>
    <row r="78" s="2" customFormat="1" ht="150" customHeight="1" spans="1:21">
      <c r="A78" s="11"/>
      <c r="B78" s="14"/>
      <c r="C78" s="14"/>
      <c r="D78" s="14"/>
      <c r="E78" s="20"/>
      <c r="F78" s="14" t="s">
        <v>500</v>
      </c>
      <c r="G78" s="19">
        <v>780</v>
      </c>
      <c r="H78" s="11" t="s">
        <v>501</v>
      </c>
      <c r="I78" s="27"/>
      <c r="J78" s="28"/>
      <c r="K78" s="19" t="s">
        <v>501</v>
      </c>
      <c r="L78" s="16">
        <v>1</v>
      </c>
      <c r="M78" s="28"/>
      <c r="N78" s="28">
        <v>147.47</v>
      </c>
      <c r="O78" s="28">
        <v>60</v>
      </c>
      <c r="P78" s="63">
        <f t="shared" si="4"/>
        <v>46800</v>
      </c>
      <c r="Q78" s="61"/>
      <c r="R78" s="38"/>
      <c r="S78" s="38"/>
      <c r="T78" s="38"/>
      <c r="U78" s="38"/>
    </row>
    <row r="79" s="2" customFormat="1" ht="150" customHeight="1" spans="1:21">
      <c r="A79" s="11"/>
      <c r="B79" s="14"/>
      <c r="C79" s="14"/>
      <c r="D79" s="14"/>
      <c r="E79" s="18"/>
      <c r="F79" s="14" t="s">
        <v>500</v>
      </c>
      <c r="G79" s="19">
        <v>600</v>
      </c>
      <c r="H79" s="11" t="s">
        <v>502</v>
      </c>
      <c r="I79" s="27"/>
      <c r="J79" s="28"/>
      <c r="K79" s="19" t="s">
        <v>502</v>
      </c>
      <c r="L79" s="16">
        <v>1</v>
      </c>
      <c r="M79" s="28"/>
      <c r="N79" s="28">
        <v>147.47</v>
      </c>
      <c r="O79" s="28">
        <v>60</v>
      </c>
      <c r="P79" s="63">
        <f t="shared" si="4"/>
        <v>36000</v>
      </c>
      <c r="Q79" s="61"/>
      <c r="R79" s="38"/>
      <c r="S79" s="38"/>
      <c r="T79" s="38"/>
      <c r="U79" s="38"/>
    </row>
    <row r="80" s="2" customFormat="1" ht="150" customHeight="1" spans="1:21">
      <c r="A80" s="11">
        <v>43</v>
      </c>
      <c r="B80" s="14" t="s">
        <v>43</v>
      </c>
      <c r="C80" s="14" t="s">
        <v>503</v>
      </c>
      <c r="D80" s="14" t="s">
        <v>504</v>
      </c>
      <c r="E80" s="17" t="s">
        <v>154</v>
      </c>
      <c r="F80" s="14" t="s">
        <v>505</v>
      </c>
      <c r="G80" s="19">
        <v>10</v>
      </c>
      <c r="H80" s="11" t="s">
        <v>257</v>
      </c>
      <c r="I80" s="27" t="s">
        <v>157</v>
      </c>
      <c r="J80" s="28">
        <v>0</v>
      </c>
      <c r="K80" s="19" t="s">
        <v>206</v>
      </c>
      <c r="L80" s="16">
        <v>6.48387096774194</v>
      </c>
      <c r="M80" s="28">
        <v>9.48387096774194</v>
      </c>
      <c r="N80" s="28">
        <v>150</v>
      </c>
      <c r="O80" s="28">
        <v>60</v>
      </c>
      <c r="P80" s="58">
        <v>3890.32258064516</v>
      </c>
      <c r="Q80" s="61">
        <v>5690</v>
      </c>
      <c r="R80" s="38" t="s">
        <v>506</v>
      </c>
      <c r="S80" s="38" t="s">
        <v>507</v>
      </c>
      <c r="T80" s="38" t="s">
        <v>506</v>
      </c>
      <c r="U80" s="38" t="s">
        <v>508</v>
      </c>
    </row>
    <row r="81" s="2" customFormat="1" ht="150" customHeight="1" spans="1:21">
      <c r="A81" s="11"/>
      <c r="B81" s="14"/>
      <c r="C81" s="14"/>
      <c r="D81" s="14"/>
      <c r="E81" s="18"/>
      <c r="F81" s="14" t="s">
        <v>505</v>
      </c>
      <c r="G81" s="19">
        <v>10</v>
      </c>
      <c r="H81" s="11" t="s">
        <v>446</v>
      </c>
      <c r="I81" s="27"/>
      <c r="J81" s="28"/>
      <c r="K81" s="19" t="s">
        <v>446</v>
      </c>
      <c r="L81" s="16">
        <v>3</v>
      </c>
      <c r="M81" s="28"/>
      <c r="N81" s="28">
        <v>150</v>
      </c>
      <c r="O81" s="28">
        <v>60</v>
      </c>
      <c r="P81" s="58">
        <v>1800</v>
      </c>
      <c r="Q81" s="61"/>
      <c r="R81" s="38"/>
      <c r="S81" s="38"/>
      <c r="T81" s="38"/>
      <c r="U81" s="38"/>
    </row>
    <row r="82" s="2" customFormat="1" ht="300" customHeight="1" spans="1:21">
      <c r="A82" s="11">
        <v>44</v>
      </c>
      <c r="B82" s="14" t="s">
        <v>44</v>
      </c>
      <c r="C82" s="14" t="s">
        <v>509</v>
      </c>
      <c r="D82" s="14" t="s">
        <v>510</v>
      </c>
      <c r="E82" s="13" t="s">
        <v>154</v>
      </c>
      <c r="F82" s="14" t="s">
        <v>511</v>
      </c>
      <c r="G82" s="19">
        <v>10</v>
      </c>
      <c r="H82" s="11" t="s">
        <v>512</v>
      </c>
      <c r="I82" s="27" t="s">
        <v>157</v>
      </c>
      <c r="J82" s="28">
        <v>0</v>
      </c>
      <c r="K82" s="19" t="s">
        <v>513</v>
      </c>
      <c r="L82" s="16">
        <v>9.36666666666667</v>
      </c>
      <c r="M82" s="28">
        <v>9.36666666666667</v>
      </c>
      <c r="N82" s="28">
        <v>150</v>
      </c>
      <c r="O82" s="28">
        <v>60</v>
      </c>
      <c r="P82" s="58">
        <v>5620</v>
      </c>
      <c r="Q82" s="61">
        <v>5620</v>
      </c>
      <c r="R82" s="38" t="s">
        <v>514</v>
      </c>
      <c r="S82" s="38" t="s">
        <v>515</v>
      </c>
      <c r="T82" s="38" t="s">
        <v>514</v>
      </c>
      <c r="U82" s="38" t="s">
        <v>516</v>
      </c>
    </row>
    <row r="83" s="2" customFormat="1" ht="300" customHeight="1" spans="1:21">
      <c r="A83" s="11">
        <v>46</v>
      </c>
      <c r="B83" s="14" t="s">
        <v>45</v>
      </c>
      <c r="C83" s="14" t="s">
        <v>517</v>
      </c>
      <c r="D83" s="14" t="s">
        <v>518</v>
      </c>
      <c r="E83" s="13" t="s">
        <v>154</v>
      </c>
      <c r="F83" s="14" t="s">
        <v>519</v>
      </c>
      <c r="G83" s="19">
        <v>149.19</v>
      </c>
      <c r="H83" s="11" t="s">
        <v>520</v>
      </c>
      <c r="I83" s="27" t="s">
        <v>157</v>
      </c>
      <c r="J83" s="28">
        <v>0</v>
      </c>
      <c r="K83" s="19" t="s">
        <v>521</v>
      </c>
      <c r="L83" s="16">
        <v>5.54838709677419</v>
      </c>
      <c r="M83" s="28">
        <v>5.54838709677419</v>
      </c>
      <c r="N83" s="28">
        <v>80</v>
      </c>
      <c r="O83" s="28">
        <f>N83*0.5</f>
        <v>40</v>
      </c>
      <c r="P83" s="58">
        <v>33110.5548387097</v>
      </c>
      <c r="Q83" s="61">
        <v>33110</v>
      </c>
      <c r="R83" s="38" t="s">
        <v>522</v>
      </c>
      <c r="S83" s="38" t="s">
        <v>523</v>
      </c>
      <c r="T83" s="38" t="s">
        <v>522</v>
      </c>
      <c r="U83" s="38" t="s">
        <v>524</v>
      </c>
    </row>
    <row r="84" s="2" customFormat="1" ht="300" customHeight="1" spans="1:21">
      <c r="A84" s="11">
        <v>48</v>
      </c>
      <c r="B84" s="15" t="s">
        <v>46</v>
      </c>
      <c r="C84" s="14" t="s">
        <v>525</v>
      </c>
      <c r="D84" s="15" t="s">
        <v>526</v>
      </c>
      <c r="E84" s="13" t="s">
        <v>154</v>
      </c>
      <c r="F84" s="14" t="s">
        <v>525</v>
      </c>
      <c r="G84" s="19">
        <v>86</v>
      </c>
      <c r="H84" s="11" t="s">
        <v>527</v>
      </c>
      <c r="I84" s="27" t="s">
        <v>157</v>
      </c>
      <c r="J84" s="28">
        <v>0</v>
      </c>
      <c r="K84" s="19" t="s">
        <v>528</v>
      </c>
      <c r="L84" s="16">
        <v>3.2258064516129</v>
      </c>
      <c r="M84" s="28">
        <v>3.2258064516129</v>
      </c>
      <c r="N84" s="28">
        <v>125</v>
      </c>
      <c r="O84" s="28">
        <v>60</v>
      </c>
      <c r="P84" s="58">
        <v>16645.1612903226</v>
      </c>
      <c r="Q84" s="61">
        <v>16645</v>
      </c>
      <c r="R84" s="38" t="s">
        <v>529</v>
      </c>
      <c r="S84" s="38" t="s">
        <v>530</v>
      </c>
      <c r="T84" s="38" t="s">
        <v>529</v>
      </c>
      <c r="U84" s="38" t="s">
        <v>531</v>
      </c>
    </row>
    <row r="85" s="2" customFormat="1" ht="100.05" customHeight="1" spans="1:21">
      <c r="A85" s="11">
        <v>49</v>
      </c>
      <c r="B85" s="14" t="s">
        <v>47</v>
      </c>
      <c r="C85" s="14" t="s">
        <v>532</v>
      </c>
      <c r="D85" s="14" t="s">
        <v>533</v>
      </c>
      <c r="E85" s="17" t="s">
        <v>154</v>
      </c>
      <c r="F85" s="14" t="s">
        <v>532</v>
      </c>
      <c r="G85" s="19">
        <v>118</v>
      </c>
      <c r="H85" s="11" t="s">
        <v>534</v>
      </c>
      <c r="I85" s="27" t="s">
        <v>157</v>
      </c>
      <c r="J85" s="28">
        <v>0</v>
      </c>
      <c r="K85" s="19" t="s">
        <v>535</v>
      </c>
      <c r="L85" s="16">
        <v>2.54838709677419</v>
      </c>
      <c r="M85" s="28">
        <v>13.5483870967742</v>
      </c>
      <c r="N85" s="28">
        <v>105</v>
      </c>
      <c r="O85" s="28">
        <f t="shared" ref="O85:O87" si="5">N85*0.5</f>
        <v>52.5</v>
      </c>
      <c r="P85" s="58">
        <v>15787.26</v>
      </c>
      <c r="Q85" s="61">
        <v>92782</v>
      </c>
      <c r="R85" s="38" t="s">
        <v>536</v>
      </c>
      <c r="S85" s="38" t="s">
        <v>537</v>
      </c>
      <c r="T85" s="38" t="s">
        <v>536</v>
      </c>
      <c r="U85" s="38" t="s">
        <v>538</v>
      </c>
    </row>
    <row r="86" s="2" customFormat="1" ht="100.05" customHeight="1" spans="1:21">
      <c r="A86" s="11"/>
      <c r="B86" s="14"/>
      <c r="C86" s="14"/>
      <c r="D86" s="14"/>
      <c r="E86" s="20"/>
      <c r="F86" s="14" t="s">
        <v>532</v>
      </c>
      <c r="G86" s="19">
        <v>118</v>
      </c>
      <c r="H86" s="11" t="s">
        <v>534</v>
      </c>
      <c r="I86" s="27"/>
      <c r="J86" s="28"/>
      <c r="K86" s="19" t="s">
        <v>539</v>
      </c>
      <c r="L86" s="16">
        <v>9.45161290322581</v>
      </c>
      <c r="M86" s="28"/>
      <c r="N86" s="39">
        <v>118.5</v>
      </c>
      <c r="O86" s="28">
        <f t="shared" si="5"/>
        <v>59.25</v>
      </c>
      <c r="P86" s="58">
        <v>66080.9516129032</v>
      </c>
      <c r="Q86" s="61"/>
      <c r="R86" s="38"/>
      <c r="S86" s="38"/>
      <c r="T86" s="38"/>
      <c r="U86" s="38"/>
    </row>
    <row r="87" s="2" customFormat="1" ht="100.05" customHeight="1" spans="1:21">
      <c r="A87" s="11"/>
      <c r="B87" s="14"/>
      <c r="C87" s="14"/>
      <c r="D87" s="14"/>
      <c r="E87" s="20"/>
      <c r="F87" s="14" t="s">
        <v>532</v>
      </c>
      <c r="G87" s="19">
        <v>118</v>
      </c>
      <c r="H87" s="11" t="s">
        <v>540</v>
      </c>
      <c r="I87" s="27"/>
      <c r="J87" s="28"/>
      <c r="K87" s="19" t="s">
        <v>541</v>
      </c>
      <c r="L87" s="16">
        <v>0.548387096774194</v>
      </c>
      <c r="M87" s="28"/>
      <c r="N87" s="39">
        <v>118.5</v>
      </c>
      <c r="O87" s="28">
        <f t="shared" si="5"/>
        <v>59.25</v>
      </c>
      <c r="P87" s="58">
        <v>3834.04838709677</v>
      </c>
      <c r="Q87" s="61"/>
      <c r="R87" s="38"/>
      <c r="S87" s="38"/>
      <c r="T87" s="38"/>
      <c r="U87" s="38"/>
    </row>
    <row r="88" s="2" customFormat="1" ht="100.05" customHeight="1" spans="1:21">
      <c r="A88" s="11"/>
      <c r="B88" s="14"/>
      <c r="C88" s="14"/>
      <c r="D88" s="14"/>
      <c r="E88" s="18"/>
      <c r="F88" s="14" t="s">
        <v>532</v>
      </c>
      <c r="G88" s="19">
        <v>118</v>
      </c>
      <c r="H88" s="11" t="s">
        <v>540</v>
      </c>
      <c r="I88" s="27"/>
      <c r="J88" s="28"/>
      <c r="K88" s="19" t="s">
        <v>542</v>
      </c>
      <c r="L88" s="16">
        <v>1</v>
      </c>
      <c r="M88" s="28"/>
      <c r="N88" s="28">
        <v>123.499975423729</v>
      </c>
      <c r="O88" s="28">
        <v>60</v>
      </c>
      <c r="P88" s="58">
        <v>7080</v>
      </c>
      <c r="Q88" s="61"/>
      <c r="R88" s="38"/>
      <c r="S88" s="38"/>
      <c r="T88" s="38"/>
      <c r="U88" s="38"/>
    </row>
    <row r="89" s="2" customFormat="1" ht="300" customHeight="1" spans="1:21">
      <c r="A89" s="11">
        <v>50</v>
      </c>
      <c r="B89" s="14" t="s">
        <v>48</v>
      </c>
      <c r="C89" s="14" t="s">
        <v>543</v>
      </c>
      <c r="D89" s="14" t="s">
        <v>544</v>
      </c>
      <c r="E89" s="14" t="s">
        <v>154</v>
      </c>
      <c r="F89" s="14" t="s">
        <v>545</v>
      </c>
      <c r="G89" s="19">
        <v>40</v>
      </c>
      <c r="H89" s="11" t="s">
        <v>546</v>
      </c>
      <c r="I89" s="27" t="s">
        <v>157</v>
      </c>
      <c r="J89" s="28">
        <v>0</v>
      </c>
      <c r="K89" s="19" t="s">
        <v>547</v>
      </c>
      <c r="L89" s="16">
        <v>6.54838709677419</v>
      </c>
      <c r="M89" s="28">
        <v>6.54838709677419</v>
      </c>
      <c r="N89" s="28">
        <v>220</v>
      </c>
      <c r="O89" s="28">
        <v>60</v>
      </c>
      <c r="P89" s="58">
        <v>15716.1290322581</v>
      </c>
      <c r="Q89" s="61">
        <v>15716</v>
      </c>
      <c r="R89" s="38" t="s">
        <v>548</v>
      </c>
      <c r="S89" s="38" t="s">
        <v>549</v>
      </c>
      <c r="T89" s="38" t="s">
        <v>548</v>
      </c>
      <c r="U89" s="38" t="s">
        <v>550</v>
      </c>
    </row>
    <row r="90" s="2" customFormat="1" ht="300" customHeight="1" spans="1:21">
      <c r="A90" s="11">
        <v>51</v>
      </c>
      <c r="B90" s="14" t="s">
        <v>49</v>
      </c>
      <c r="C90" s="14" t="s">
        <v>551</v>
      </c>
      <c r="D90" s="14" t="s">
        <v>552</v>
      </c>
      <c r="E90" s="13" t="s">
        <v>154</v>
      </c>
      <c r="F90" s="14" t="s">
        <v>553</v>
      </c>
      <c r="G90" s="19">
        <v>1350</v>
      </c>
      <c r="H90" s="11" t="s">
        <v>554</v>
      </c>
      <c r="I90" s="27" t="s">
        <v>157</v>
      </c>
      <c r="J90" s="28">
        <v>0</v>
      </c>
      <c r="K90" s="19" t="s">
        <v>346</v>
      </c>
      <c r="L90" s="16">
        <v>7.5</v>
      </c>
      <c r="M90" s="28">
        <v>7.5</v>
      </c>
      <c r="N90" s="28">
        <v>153</v>
      </c>
      <c r="O90" s="28">
        <v>60</v>
      </c>
      <c r="P90" s="58">
        <v>607500</v>
      </c>
      <c r="Q90" s="61">
        <v>300000</v>
      </c>
      <c r="R90" s="38" t="s">
        <v>476</v>
      </c>
      <c r="S90" s="38" t="s">
        <v>477</v>
      </c>
      <c r="T90" s="38" t="s">
        <v>476</v>
      </c>
      <c r="U90" s="38" t="s">
        <v>478</v>
      </c>
    </row>
    <row r="91" s="2" customFormat="1" ht="150" customHeight="1" spans="1:21">
      <c r="A91" s="11">
        <v>52</v>
      </c>
      <c r="B91" s="14" t="s">
        <v>50</v>
      </c>
      <c r="C91" s="14" t="s">
        <v>555</v>
      </c>
      <c r="D91" s="14" t="s">
        <v>556</v>
      </c>
      <c r="E91" s="17" t="s">
        <v>154</v>
      </c>
      <c r="F91" s="14" t="s">
        <v>555</v>
      </c>
      <c r="G91" s="19">
        <v>40</v>
      </c>
      <c r="H91" s="11" t="s">
        <v>557</v>
      </c>
      <c r="I91" s="27" t="s">
        <v>220</v>
      </c>
      <c r="J91" s="28">
        <v>6.54838709677419</v>
      </c>
      <c r="K91" s="19" t="s">
        <v>558</v>
      </c>
      <c r="L91" s="16">
        <v>5.45161290322581</v>
      </c>
      <c r="M91" s="28">
        <v>18.5483870967742</v>
      </c>
      <c r="N91" s="28">
        <v>130</v>
      </c>
      <c r="O91" s="28">
        <v>60</v>
      </c>
      <c r="P91" s="58">
        <v>13083.8709677419</v>
      </c>
      <c r="Q91" s="61">
        <v>28800</v>
      </c>
      <c r="R91" s="38" t="s">
        <v>559</v>
      </c>
      <c r="S91" s="38" t="s">
        <v>560</v>
      </c>
      <c r="T91" s="38" t="s">
        <v>559</v>
      </c>
      <c r="U91" s="38" t="s">
        <v>561</v>
      </c>
    </row>
    <row r="92" s="2" customFormat="1" ht="150" customHeight="1" spans="1:21">
      <c r="A92" s="11"/>
      <c r="B92" s="14"/>
      <c r="C92" s="14"/>
      <c r="D92" s="14"/>
      <c r="E92" s="18"/>
      <c r="F92" s="14" t="s">
        <v>555</v>
      </c>
      <c r="G92" s="19">
        <v>40</v>
      </c>
      <c r="H92" s="11" t="s">
        <v>546</v>
      </c>
      <c r="I92" s="27"/>
      <c r="J92" s="28"/>
      <c r="K92" s="19" t="s">
        <v>547</v>
      </c>
      <c r="L92" s="16">
        <v>6.54838709677419</v>
      </c>
      <c r="M92" s="28"/>
      <c r="N92" s="28">
        <v>130</v>
      </c>
      <c r="O92" s="28">
        <v>60</v>
      </c>
      <c r="P92" s="58">
        <v>15716.1290322581</v>
      </c>
      <c r="Q92" s="61"/>
      <c r="R92" s="38"/>
      <c r="S92" s="38"/>
      <c r="T92" s="38"/>
      <c r="U92" s="38"/>
    </row>
    <row r="93" s="2" customFormat="1" ht="300" customHeight="1" spans="1:21">
      <c r="A93" s="11">
        <v>53</v>
      </c>
      <c r="B93" s="14" t="s">
        <v>51</v>
      </c>
      <c r="C93" s="14" t="s">
        <v>562</v>
      </c>
      <c r="D93" s="14" t="s">
        <v>563</v>
      </c>
      <c r="E93" s="13" t="s">
        <v>154</v>
      </c>
      <c r="F93" s="14" t="s">
        <v>562</v>
      </c>
      <c r="G93" s="19">
        <v>8.5</v>
      </c>
      <c r="H93" s="11" t="s">
        <v>564</v>
      </c>
      <c r="I93" s="27" t="s">
        <v>157</v>
      </c>
      <c r="J93" s="28">
        <v>0</v>
      </c>
      <c r="K93" s="19" t="s">
        <v>565</v>
      </c>
      <c r="L93" s="16">
        <f>22/31+8</f>
        <v>8.70967741935484</v>
      </c>
      <c r="M93" s="28">
        <v>8.70967741935484</v>
      </c>
      <c r="N93" s="28">
        <f>1000/8.5</f>
        <v>117.647058823529</v>
      </c>
      <c r="O93" s="28">
        <f>N93*0.5</f>
        <v>58.8235294117647</v>
      </c>
      <c r="P93" s="58">
        <f>G93*L93*O93</f>
        <v>4354.83870967742</v>
      </c>
      <c r="Q93" s="61">
        <v>4354</v>
      </c>
      <c r="R93" s="38" t="s">
        <v>566</v>
      </c>
      <c r="S93" s="38" t="s">
        <v>567</v>
      </c>
      <c r="T93" s="38" t="s">
        <v>566</v>
      </c>
      <c r="U93" s="38" t="s">
        <v>568</v>
      </c>
    </row>
    <row r="94" s="2" customFormat="1" ht="300" customHeight="1" spans="1:21">
      <c r="A94" s="11">
        <v>54</v>
      </c>
      <c r="B94" s="14" t="s">
        <v>52</v>
      </c>
      <c r="C94" s="14" t="s">
        <v>569</v>
      </c>
      <c r="D94" s="14" t="s">
        <v>570</v>
      </c>
      <c r="E94" s="13" t="s">
        <v>154</v>
      </c>
      <c r="F94" s="14" t="s">
        <v>571</v>
      </c>
      <c r="G94" s="19">
        <v>323.84</v>
      </c>
      <c r="H94" s="11" t="s">
        <v>572</v>
      </c>
      <c r="I94" s="27" t="s">
        <v>157</v>
      </c>
      <c r="J94" s="28">
        <v>0</v>
      </c>
      <c r="K94" s="19" t="s">
        <v>573</v>
      </c>
      <c r="L94" s="16">
        <v>6.25806451612903</v>
      </c>
      <c r="M94" s="28">
        <v>6.25806451612903</v>
      </c>
      <c r="N94" s="28">
        <v>80</v>
      </c>
      <c r="O94" s="28">
        <f>N94*0.5</f>
        <v>40</v>
      </c>
      <c r="P94" s="58">
        <v>81064.464516129</v>
      </c>
      <c r="Q94" s="61">
        <v>81064</v>
      </c>
      <c r="R94" s="38" t="s">
        <v>574</v>
      </c>
      <c r="S94" s="38" t="s">
        <v>575</v>
      </c>
      <c r="T94" s="38" t="s">
        <v>574</v>
      </c>
      <c r="U94" s="38" t="s">
        <v>576</v>
      </c>
    </row>
    <row r="95" s="2" customFormat="1" ht="150" customHeight="1" spans="1:21">
      <c r="A95" s="11">
        <v>55</v>
      </c>
      <c r="B95" s="14" t="s">
        <v>53</v>
      </c>
      <c r="C95" s="14" t="s">
        <v>577</v>
      </c>
      <c r="D95" s="14" t="s">
        <v>578</v>
      </c>
      <c r="E95" s="17" t="s">
        <v>154</v>
      </c>
      <c r="F95" s="14" t="s">
        <v>577</v>
      </c>
      <c r="G95" s="19">
        <v>104</v>
      </c>
      <c r="H95" s="11" t="s">
        <v>579</v>
      </c>
      <c r="I95" s="27" t="s">
        <v>220</v>
      </c>
      <c r="J95" s="28">
        <v>0</v>
      </c>
      <c r="K95" s="19" t="s">
        <v>579</v>
      </c>
      <c r="L95" s="16">
        <v>12</v>
      </c>
      <c r="M95" s="28">
        <v>15</v>
      </c>
      <c r="N95" s="28">
        <v>120</v>
      </c>
      <c r="O95" s="28">
        <v>60</v>
      </c>
      <c r="P95" s="58">
        <v>74880</v>
      </c>
      <c r="Q95" s="61">
        <v>93600</v>
      </c>
      <c r="R95" s="38" t="s">
        <v>580</v>
      </c>
      <c r="S95" s="38" t="s">
        <v>581</v>
      </c>
      <c r="T95" s="38" t="s">
        <v>580</v>
      </c>
      <c r="U95" s="38" t="s">
        <v>582</v>
      </c>
    </row>
    <row r="96" s="2" customFormat="1" ht="150" customHeight="1" spans="1:21">
      <c r="A96" s="11"/>
      <c r="B96" s="14"/>
      <c r="C96" s="14"/>
      <c r="D96" s="14"/>
      <c r="E96" s="18"/>
      <c r="F96" s="14" t="s">
        <v>577</v>
      </c>
      <c r="G96" s="19">
        <v>104</v>
      </c>
      <c r="H96" s="11" t="s">
        <v>272</v>
      </c>
      <c r="I96" s="27"/>
      <c r="J96" s="28"/>
      <c r="K96" s="19" t="s">
        <v>273</v>
      </c>
      <c r="L96" s="16">
        <v>3</v>
      </c>
      <c r="M96" s="28"/>
      <c r="N96" s="28">
        <v>120</v>
      </c>
      <c r="O96" s="28">
        <v>60</v>
      </c>
      <c r="P96" s="58">
        <v>18720</v>
      </c>
      <c r="Q96" s="61"/>
      <c r="R96" s="38"/>
      <c r="S96" s="38"/>
      <c r="T96" s="38"/>
      <c r="U96" s="38"/>
    </row>
    <row r="97" s="2" customFormat="1" ht="100.05" customHeight="1" spans="1:21">
      <c r="A97" s="11">
        <v>56</v>
      </c>
      <c r="B97" s="14" t="s">
        <v>54</v>
      </c>
      <c r="C97" s="14" t="s">
        <v>583</v>
      </c>
      <c r="D97" s="14" t="s">
        <v>584</v>
      </c>
      <c r="E97" s="21" t="s">
        <v>154</v>
      </c>
      <c r="F97" s="14" t="s">
        <v>585</v>
      </c>
      <c r="G97" s="19">
        <v>800</v>
      </c>
      <c r="H97" s="11" t="s">
        <v>497</v>
      </c>
      <c r="I97" s="27" t="s">
        <v>220</v>
      </c>
      <c r="J97" s="28">
        <v>12</v>
      </c>
      <c r="K97" s="19" t="s">
        <v>497</v>
      </c>
      <c r="L97" s="16">
        <v>5</v>
      </c>
      <c r="M97" s="28">
        <v>24</v>
      </c>
      <c r="N97" s="28">
        <v>139</v>
      </c>
      <c r="O97" s="28">
        <v>60</v>
      </c>
      <c r="P97" s="58">
        <v>240000</v>
      </c>
      <c r="Q97" s="61">
        <v>300000</v>
      </c>
      <c r="R97" s="38" t="s">
        <v>476</v>
      </c>
      <c r="S97" s="38" t="s">
        <v>477</v>
      </c>
      <c r="T97" s="38" t="s">
        <v>476</v>
      </c>
      <c r="U97" s="38" t="s">
        <v>478</v>
      </c>
    </row>
    <row r="98" s="2" customFormat="1" ht="100.05" customHeight="1" spans="1:21">
      <c r="A98" s="11"/>
      <c r="B98" s="14"/>
      <c r="C98" s="14"/>
      <c r="D98" s="14"/>
      <c r="E98" s="23"/>
      <c r="F98" s="14" t="s">
        <v>586</v>
      </c>
      <c r="G98" s="19">
        <v>400</v>
      </c>
      <c r="H98" s="11" t="s">
        <v>587</v>
      </c>
      <c r="I98" s="27"/>
      <c r="J98" s="28"/>
      <c r="K98" s="19" t="s">
        <v>587</v>
      </c>
      <c r="L98" s="16">
        <v>2</v>
      </c>
      <c r="M98" s="28"/>
      <c r="N98" s="28">
        <v>139</v>
      </c>
      <c r="O98" s="28">
        <v>60</v>
      </c>
      <c r="P98" s="58">
        <v>48000</v>
      </c>
      <c r="Q98" s="61"/>
      <c r="R98" s="38"/>
      <c r="S98" s="38"/>
      <c r="T98" s="38"/>
      <c r="U98" s="38"/>
    </row>
    <row r="99" s="2" customFormat="1" ht="100.05" customHeight="1" spans="1:21">
      <c r="A99" s="11"/>
      <c r="B99" s="14"/>
      <c r="C99" s="14"/>
      <c r="D99" s="14"/>
      <c r="E99" s="22"/>
      <c r="F99" s="14" t="s">
        <v>585</v>
      </c>
      <c r="G99" s="19">
        <v>45</v>
      </c>
      <c r="H99" s="11" t="s">
        <v>588</v>
      </c>
      <c r="I99" s="27"/>
      <c r="J99" s="28"/>
      <c r="K99" s="19" t="s">
        <v>314</v>
      </c>
      <c r="L99" s="16">
        <v>5</v>
      </c>
      <c r="M99" s="28"/>
      <c r="N99" s="28">
        <v>139</v>
      </c>
      <c r="O99" s="28">
        <v>60</v>
      </c>
      <c r="P99" s="58">
        <v>13500</v>
      </c>
      <c r="Q99" s="61"/>
      <c r="R99" s="38"/>
      <c r="S99" s="38"/>
      <c r="T99" s="38"/>
      <c r="U99" s="38"/>
    </row>
    <row r="100" s="2" customFormat="1" ht="120" customHeight="1" spans="1:21">
      <c r="A100" s="11">
        <v>57</v>
      </c>
      <c r="B100" s="14" t="s">
        <v>55</v>
      </c>
      <c r="C100" s="14" t="s">
        <v>589</v>
      </c>
      <c r="D100" s="14" t="s">
        <v>590</v>
      </c>
      <c r="E100" s="21" t="s">
        <v>154</v>
      </c>
      <c r="F100" s="14" t="s">
        <v>586</v>
      </c>
      <c r="G100" s="19">
        <v>590</v>
      </c>
      <c r="H100" s="11" t="s">
        <v>591</v>
      </c>
      <c r="I100" s="27" t="s">
        <v>157</v>
      </c>
      <c r="J100" s="28">
        <v>0</v>
      </c>
      <c r="K100" s="19" t="s">
        <v>591</v>
      </c>
      <c r="L100" s="16">
        <v>4</v>
      </c>
      <c r="M100" s="28">
        <v>9</v>
      </c>
      <c r="N100" s="28">
        <v>147.47</v>
      </c>
      <c r="O100" s="28">
        <v>60</v>
      </c>
      <c r="P100" s="58">
        <v>141600</v>
      </c>
      <c r="Q100" s="61">
        <v>206504</v>
      </c>
      <c r="R100" s="38" t="s">
        <v>592</v>
      </c>
      <c r="S100" s="38" t="s">
        <v>593</v>
      </c>
      <c r="T100" s="38" t="s">
        <v>592</v>
      </c>
      <c r="U100" s="38" t="s">
        <v>594</v>
      </c>
    </row>
    <row r="101" s="2" customFormat="1" ht="120" customHeight="1" spans="1:21">
      <c r="A101" s="11"/>
      <c r="B101" s="14"/>
      <c r="C101" s="14"/>
      <c r="D101" s="14"/>
      <c r="E101" s="23"/>
      <c r="F101" s="14" t="s">
        <v>595</v>
      </c>
      <c r="G101" s="19">
        <v>30</v>
      </c>
      <c r="H101" s="11" t="s">
        <v>596</v>
      </c>
      <c r="I101" s="27"/>
      <c r="J101" s="28"/>
      <c r="K101" s="19" t="s">
        <v>314</v>
      </c>
      <c r="L101" s="16">
        <v>5</v>
      </c>
      <c r="M101" s="28"/>
      <c r="N101" s="28">
        <v>147.47</v>
      </c>
      <c r="O101" s="28">
        <v>60</v>
      </c>
      <c r="P101" s="58">
        <v>9000</v>
      </c>
      <c r="Q101" s="61"/>
      <c r="R101" s="38"/>
      <c r="S101" s="38"/>
      <c r="T101" s="38"/>
      <c r="U101" s="38"/>
    </row>
    <row r="102" s="2" customFormat="1" ht="120" customHeight="1" spans="1:21">
      <c r="A102" s="11"/>
      <c r="B102" s="14"/>
      <c r="C102" s="14"/>
      <c r="D102" s="14"/>
      <c r="E102" s="22"/>
      <c r="F102" s="14" t="s">
        <v>597</v>
      </c>
      <c r="G102" s="19">
        <v>213.43</v>
      </c>
      <c r="H102" s="11" t="s">
        <v>598</v>
      </c>
      <c r="I102" s="27"/>
      <c r="J102" s="28"/>
      <c r="K102" s="19" t="s">
        <v>547</v>
      </c>
      <c r="L102" s="16">
        <v>6.54838709677419</v>
      </c>
      <c r="M102" s="28"/>
      <c r="N102" s="28">
        <v>80</v>
      </c>
      <c r="O102" s="28">
        <f t="shared" ref="O102:O108" si="6">N102*0.5</f>
        <v>40</v>
      </c>
      <c r="P102" s="58">
        <v>55904.8903225806</v>
      </c>
      <c r="Q102" s="61"/>
      <c r="R102" s="38"/>
      <c r="S102" s="38"/>
      <c r="T102" s="38"/>
      <c r="U102" s="38"/>
    </row>
    <row r="103" s="2" customFormat="1" ht="300" customHeight="1" spans="1:21">
      <c r="A103" s="11">
        <v>58</v>
      </c>
      <c r="B103" s="14" t="s">
        <v>56</v>
      </c>
      <c r="C103" s="14" t="s">
        <v>599</v>
      </c>
      <c r="D103" s="14" t="s">
        <v>600</v>
      </c>
      <c r="E103" s="14" t="s">
        <v>154</v>
      </c>
      <c r="F103" s="14" t="s">
        <v>601</v>
      </c>
      <c r="G103" s="19">
        <v>299.82</v>
      </c>
      <c r="H103" s="11" t="s">
        <v>546</v>
      </c>
      <c r="I103" s="27" t="s">
        <v>157</v>
      </c>
      <c r="J103" s="28">
        <v>0</v>
      </c>
      <c r="K103" s="19" t="s">
        <v>602</v>
      </c>
      <c r="L103" s="16">
        <v>6</v>
      </c>
      <c r="M103" s="28">
        <v>6</v>
      </c>
      <c r="N103" s="28">
        <v>107.16</v>
      </c>
      <c r="O103" s="28">
        <f t="shared" si="6"/>
        <v>53.58</v>
      </c>
      <c r="P103" s="58">
        <v>96386.1336</v>
      </c>
      <c r="Q103" s="61">
        <v>96386</v>
      </c>
      <c r="R103" s="38" t="s">
        <v>603</v>
      </c>
      <c r="S103" s="38" t="s">
        <v>604</v>
      </c>
      <c r="T103" s="38" t="s">
        <v>603</v>
      </c>
      <c r="U103" s="38" t="s">
        <v>605</v>
      </c>
    </row>
    <row r="104" s="2" customFormat="1" ht="150" customHeight="1" spans="1:21">
      <c r="A104" s="11">
        <v>59</v>
      </c>
      <c r="B104" s="14" t="s">
        <v>57</v>
      </c>
      <c r="C104" s="14" t="s">
        <v>606</v>
      </c>
      <c r="D104" s="14" t="s">
        <v>607</v>
      </c>
      <c r="E104" s="21" t="s">
        <v>154</v>
      </c>
      <c r="F104" s="14" t="s">
        <v>608</v>
      </c>
      <c r="G104" s="19">
        <v>82.2</v>
      </c>
      <c r="H104" s="11" t="s">
        <v>609</v>
      </c>
      <c r="I104" s="27" t="s">
        <v>220</v>
      </c>
      <c r="J104" s="28">
        <v>2.63333333333333</v>
      </c>
      <c r="K104" s="19" t="s">
        <v>609</v>
      </c>
      <c r="L104" s="16">
        <v>6</v>
      </c>
      <c r="M104" s="28">
        <v>14.6333333333333</v>
      </c>
      <c r="N104" s="28">
        <v>139.902676399027</v>
      </c>
      <c r="O104" s="28">
        <v>60</v>
      </c>
      <c r="P104" s="58">
        <v>29592</v>
      </c>
      <c r="Q104" s="61">
        <v>56409</v>
      </c>
      <c r="R104" s="38" t="s">
        <v>610</v>
      </c>
      <c r="S104" s="38" t="s">
        <v>611</v>
      </c>
      <c r="T104" s="38" t="s">
        <v>610</v>
      </c>
      <c r="U104" s="38" t="s">
        <v>612</v>
      </c>
    </row>
    <row r="105" s="2" customFormat="1" ht="150" customHeight="1" spans="1:21">
      <c r="A105" s="11"/>
      <c r="B105" s="14"/>
      <c r="C105" s="14"/>
      <c r="D105" s="14"/>
      <c r="E105" s="23"/>
      <c r="F105" s="14" t="s">
        <v>608</v>
      </c>
      <c r="G105" s="19">
        <v>82.2</v>
      </c>
      <c r="H105" s="11" t="s">
        <v>613</v>
      </c>
      <c r="I105" s="27"/>
      <c r="J105" s="28"/>
      <c r="K105" s="19" t="s">
        <v>614</v>
      </c>
      <c r="L105" s="16">
        <v>5</v>
      </c>
      <c r="M105" s="28"/>
      <c r="N105" s="28">
        <v>139.902676399027</v>
      </c>
      <c r="O105" s="28">
        <v>60</v>
      </c>
      <c r="P105" s="58">
        <v>24660</v>
      </c>
      <c r="Q105" s="61"/>
      <c r="R105" s="38"/>
      <c r="S105" s="38"/>
      <c r="T105" s="38"/>
      <c r="U105" s="38"/>
    </row>
    <row r="106" s="2" customFormat="1" ht="150" customHeight="1" spans="1:21">
      <c r="A106" s="11"/>
      <c r="B106" s="14"/>
      <c r="C106" s="14"/>
      <c r="D106" s="14"/>
      <c r="E106" s="22"/>
      <c r="F106" s="14" t="s">
        <v>615</v>
      </c>
      <c r="G106" s="19">
        <v>35.96</v>
      </c>
      <c r="H106" s="11" t="s">
        <v>616</v>
      </c>
      <c r="I106" s="27"/>
      <c r="J106" s="28"/>
      <c r="K106" s="19" t="s">
        <v>542</v>
      </c>
      <c r="L106" s="16">
        <v>1</v>
      </c>
      <c r="M106" s="28"/>
      <c r="N106" s="28">
        <v>139.043381535039</v>
      </c>
      <c r="O106" s="28">
        <v>60</v>
      </c>
      <c r="P106" s="58">
        <v>2157.6</v>
      </c>
      <c r="Q106" s="61"/>
      <c r="R106" s="38"/>
      <c r="S106" s="38"/>
      <c r="T106" s="38"/>
      <c r="U106" s="38"/>
    </row>
    <row r="107" s="2" customFormat="1" ht="150" customHeight="1" spans="1:21">
      <c r="A107" s="11">
        <v>60</v>
      </c>
      <c r="B107" s="14" t="s">
        <v>58</v>
      </c>
      <c r="C107" s="14" t="s">
        <v>617</v>
      </c>
      <c r="D107" s="14" t="s">
        <v>618</v>
      </c>
      <c r="E107" s="21" t="s">
        <v>154</v>
      </c>
      <c r="F107" s="14" t="s">
        <v>619</v>
      </c>
      <c r="G107" s="19">
        <v>354.5</v>
      </c>
      <c r="H107" s="11" t="s">
        <v>620</v>
      </c>
      <c r="I107" s="27" t="s">
        <v>157</v>
      </c>
      <c r="J107" s="28">
        <v>0</v>
      </c>
      <c r="K107" s="19" t="s">
        <v>621</v>
      </c>
      <c r="L107" s="16">
        <v>4</v>
      </c>
      <c r="M107" s="28">
        <v>10</v>
      </c>
      <c r="N107" s="28">
        <v>113.32</v>
      </c>
      <c r="O107" s="28">
        <f t="shared" si="6"/>
        <v>56.66</v>
      </c>
      <c r="P107" s="58">
        <v>80343.88</v>
      </c>
      <c r="Q107" s="61">
        <v>202646</v>
      </c>
      <c r="R107" s="38" t="s">
        <v>622</v>
      </c>
      <c r="S107" s="38" t="s">
        <v>623</v>
      </c>
      <c r="T107" s="38" t="s">
        <v>622</v>
      </c>
      <c r="U107" s="38" t="s">
        <v>624</v>
      </c>
    </row>
    <row r="108" s="2" customFormat="1" ht="150" customHeight="1" spans="1:21">
      <c r="A108" s="11"/>
      <c r="B108" s="14"/>
      <c r="C108" s="14"/>
      <c r="D108" s="14"/>
      <c r="E108" s="22"/>
      <c r="F108" s="14" t="s">
        <v>619</v>
      </c>
      <c r="G108" s="19">
        <v>354.5</v>
      </c>
      <c r="H108" s="11" t="s">
        <v>244</v>
      </c>
      <c r="I108" s="27"/>
      <c r="J108" s="28"/>
      <c r="K108" s="19" t="s">
        <v>602</v>
      </c>
      <c r="L108" s="16">
        <v>6</v>
      </c>
      <c r="M108" s="28"/>
      <c r="N108" s="28">
        <v>115</v>
      </c>
      <c r="O108" s="28">
        <f t="shared" si="6"/>
        <v>57.5</v>
      </c>
      <c r="P108" s="58">
        <v>122302.5</v>
      </c>
      <c r="Q108" s="61"/>
      <c r="R108" s="38"/>
      <c r="S108" s="38"/>
      <c r="T108" s="38"/>
      <c r="U108" s="38"/>
    </row>
    <row r="109" s="2" customFormat="1" ht="120" customHeight="1" spans="1:21">
      <c r="A109" s="11">
        <v>61</v>
      </c>
      <c r="B109" s="14" t="s">
        <v>59</v>
      </c>
      <c r="C109" s="14" t="s">
        <v>625</v>
      </c>
      <c r="D109" s="14" t="s">
        <v>626</v>
      </c>
      <c r="E109" s="21" t="s">
        <v>154</v>
      </c>
      <c r="F109" s="14" t="s">
        <v>627</v>
      </c>
      <c r="G109" s="19">
        <v>1150</v>
      </c>
      <c r="H109" s="11" t="s">
        <v>628</v>
      </c>
      <c r="I109" s="27" t="s">
        <v>220</v>
      </c>
      <c r="J109" s="28">
        <v>6</v>
      </c>
      <c r="K109" s="19" t="s">
        <v>628</v>
      </c>
      <c r="L109" s="19">
        <v>3</v>
      </c>
      <c r="M109" s="28">
        <v>18</v>
      </c>
      <c r="N109" s="28">
        <v>139</v>
      </c>
      <c r="O109" s="28">
        <v>60</v>
      </c>
      <c r="P109" s="59">
        <v>207000</v>
      </c>
      <c r="Q109" s="61">
        <v>300000</v>
      </c>
      <c r="R109" s="38" t="s">
        <v>476</v>
      </c>
      <c r="S109" s="38" t="s">
        <v>477</v>
      </c>
      <c r="T109" s="38" t="s">
        <v>476</v>
      </c>
      <c r="U109" s="38" t="s">
        <v>478</v>
      </c>
    </row>
    <row r="110" s="2" customFormat="1" ht="120" customHeight="1" spans="1:21">
      <c r="A110" s="11"/>
      <c r="B110" s="14"/>
      <c r="C110" s="14"/>
      <c r="D110" s="14"/>
      <c r="E110" s="23"/>
      <c r="F110" s="14" t="s">
        <v>627</v>
      </c>
      <c r="G110" s="19">
        <v>560</v>
      </c>
      <c r="H110" s="11" t="s">
        <v>629</v>
      </c>
      <c r="I110" s="27"/>
      <c r="J110" s="28"/>
      <c r="K110" s="19" t="s">
        <v>629</v>
      </c>
      <c r="L110" s="19">
        <v>2</v>
      </c>
      <c r="M110" s="28"/>
      <c r="N110" s="28">
        <v>139</v>
      </c>
      <c r="O110" s="28">
        <v>60</v>
      </c>
      <c r="P110" s="59">
        <v>67200</v>
      </c>
      <c r="Q110" s="61"/>
      <c r="R110" s="38"/>
      <c r="S110" s="38"/>
      <c r="T110" s="38"/>
      <c r="U110" s="38"/>
    </row>
    <row r="111" s="2" customFormat="1" ht="120" customHeight="1" spans="1:21">
      <c r="A111" s="11"/>
      <c r="B111" s="14"/>
      <c r="C111" s="14"/>
      <c r="D111" s="14"/>
      <c r="E111" s="22"/>
      <c r="F111" s="14" t="s">
        <v>627</v>
      </c>
      <c r="G111" s="19">
        <v>65</v>
      </c>
      <c r="H111" s="11" t="s">
        <v>630</v>
      </c>
      <c r="I111" s="27"/>
      <c r="J111" s="28"/>
      <c r="K111" s="19" t="s">
        <v>499</v>
      </c>
      <c r="L111" s="19">
        <v>7</v>
      </c>
      <c r="M111" s="28"/>
      <c r="N111" s="28">
        <v>139</v>
      </c>
      <c r="O111" s="28">
        <v>60</v>
      </c>
      <c r="P111" s="59">
        <v>27300</v>
      </c>
      <c r="Q111" s="61"/>
      <c r="R111" s="38"/>
      <c r="S111" s="38"/>
      <c r="T111" s="38"/>
      <c r="U111" s="38"/>
    </row>
    <row r="112" s="2" customFormat="1" ht="120" customHeight="1" spans="1:21">
      <c r="A112" s="11">
        <v>62</v>
      </c>
      <c r="B112" s="14" t="s">
        <v>60</v>
      </c>
      <c r="C112" s="14" t="s">
        <v>631</v>
      </c>
      <c r="D112" s="14" t="s">
        <v>632</v>
      </c>
      <c r="E112" s="17" t="s">
        <v>154</v>
      </c>
      <c r="F112" s="14" t="s">
        <v>633</v>
      </c>
      <c r="G112" s="19">
        <v>810</v>
      </c>
      <c r="H112" s="11" t="s">
        <v>497</v>
      </c>
      <c r="I112" s="27" t="s">
        <v>220</v>
      </c>
      <c r="J112" s="28">
        <v>8</v>
      </c>
      <c r="K112" s="19" t="s">
        <v>497</v>
      </c>
      <c r="L112" s="19">
        <v>5</v>
      </c>
      <c r="M112" s="28">
        <v>20</v>
      </c>
      <c r="N112" s="28">
        <v>139</v>
      </c>
      <c r="O112" s="28">
        <v>60</v>
      </c>
      <c r="P112" s="59">
        <v>243000</v>
      </c>
      <c r="Q112" s="61">
        <v>300000</v>
      </c>
      <c r="R112" s="38" t="s">
        <v>476</v>
      </c>
      <c r="S112" s="38" t="s">
        <v>477</v>
      </c>
      <c r="T112" s="38" t="s">
        <v>476</v>
      </c>
      <c r="U112" s="38" t="s">
        <v>478</v>
      </c>
    </row>
    <row r="113" s="2" customFormat="1" ht="120" customHeight="1" spans="1:21">
      <c r="A113" s="11"/>
      <c r="B113" s="14"/>
      <c r="C113" s="14"/>
      <c r="D113" s="14"/>
      <c r="E113" s="20"/>
      <c r="F113" s="14" t="s">
        <v>634</v>
      </c>
      <c r="G113" s="19">
        <v>810</v>
      </c>
      <c r="H113" s="11" t="s">
        <v>635</v>
      </c>
      <c r="I113" s="27"/>
      <c r="J113" s="28"/>
      <c r="K113" s="19" t="s">
        <v>635</v>
      </c>
      <c r="L113" s="19">
        <v>1</v>
      </c>
      <c r="M113" s="28"/>
      <c r="N113" s="28">
        <v>139</v>
      </c>
      <c r="O113" s="28">
        <v>60</v>
      </c>
      <c r="P113" s="59">
        <v>48600</v>
      </c>
      <c r="Q113" s="61"/>
      <c r="R113" s="38"/>
      <c r="S113" s="38"/>
      <c r="T113" s="38"/>
      <c r="U113" s="38"/>
    </row>
    <row r="114" s="2" customFormat="1" ht="120" customHeight="1" spans="1:21">
      <c r="A114" s="11"/>
      <c r="B114" s="14"/>
      <c r="C114" s="14"/>
      <c r="D114" s="14"/>
      <c r="E114" s="18"/>
      <c r="F114" s="14" t="s">
        <v>633</v>
      </c>
      <c r="G114" s="19">
        <v>30</v>
      </c>
      <c r="H114" s="11" t="s">
        <v>636</v>
      </c>
      <c r="I114" s="27"/>
      <c r="J114" s="28"/>
      <c r="K114" s="19" t="s">
        <v>602</v>
      </c>
      <c r="L114" s="19">
        <v>6</v>
      </c>
      <c r="M114" s="28"/>
      <c r="N114" s="28">
        <v>139</v>
      </c>
      <c r="O114" s="28">
        <v>60</v>
      </c>
      <c r="P114" s="59">
        <v>10800</v>
      </c>
      <c r="Q114" s="61"/>
      <c r="R114" s="38"/>
      <c r="S114" s="38"/>
      <c r="T114" s="38"/>
      <c r="U114" s="38"/>
    </row>
    <row r="115" s="2" customFormat="1" ht="150" customHeight="1" spans="1:21">
      <c r="A115" s="11">
        <v>63</v>
      </c>
      <c r="B115" s="14" t="s">
        <v>61</v>
      </c>
      <c r="C115" s="14" t="s">
        <v>637</v>
      </c>
      <c r="D115" s="14" t="s">
        <v>638</v>
      </c>
      <c r="E115" s="17" t="s">
        <v>154</v>
      </c>
      <c r="F115" s="14" t="s">
        <v>639</v>
      </c>
      <c r="G115" s="19">
        <v>139.92</v>
      </c>
      <c r="H115" s="11" t="s">
        <v>269</v>
      </c>
      <c r="I115" s="27" t="s">
        <v>157</v>
      </c>
      <c r="J115" s="28">
        <v>0</v>
      </c>
      <c r="K115" s="19" t="s">
        <v>269</v>
      </c>
      <c r="L115" s="19">
        <v>2</v>
      </c>
      <c r="M115" s="28">
        <v>8</v>
      </c>
      <c r="N115" s="28">
        <v>87.42</v>
      </c>
      <c r="O115" s="28">
        <f t="shared" ref="O115:O118" si="7">N115*0.5</f>
        <v>43.71</v>
      </c>
      <c r="P115" s="59">
        <v>12231.8064</v>
      </c>
      <c r="Q115" s="61">
        <v>50028</v>
      </c>
      <c r="R115" s="38" t="s">
        <v>640</v>
      </c>
      <c r="S115" s="38" t="s">
        <v>641</v>
      </c>
      <c r="T115" s="38" t="s">
        <v>640</v>
      </c>
      <c r="U115" s="38" t="s">
        <v>642</v>
      </c>
    </row>
    <row r="116" s="2" customFormat="1" ht="150" customHeight="1" spans="1:21">
      <c r="A116" s="11"/>
      <c r="B116" s="14"/>
      <c r="C116" s="14"/>
      <c r="D116" s="14"/>
      <c r="E116" s="18"/>
      <c r="F116" s="14" t="s">
        <v>639</v>
      </c>
      <c r="G116" s="19">
        <v>139.92</v>
      </c>
      <c r="H116" s="11" t="s">
        <v>643</v>
      </c>
      <c r="I116" s="27"/>
      <c r="J116" s="28"/>
      <c r="K116" s="19" t="s">
        <v>602</v>
      </c>
      <c r="L116" s="19">
        <v>6</v>
      </c>
      <c r="M116" s="28"/>
      <c r="N116" s="28">
        <v>90.0426</v>
      </c>
      <c r="O116" s="28">
        <f t="shared" si="7"/>
        <v>45.0213</v>
      </c>
      <c r="P116" s="59">
        <v>37796.281776</v>
      </c>
      <c r="Q116" s="61"/>
      <c r="R116" s="38"/>
      <c r="S116" s="38"/>
      <c r="T116" s="38"/>
      <c r="U116" s="38"/>
    </row>
    <row r="117" s="2" customFormat="1" ht="300" customHeight="1" spans="1:21">
      <c r="A117" s="11">
        <v>64</v>
      </c>
      <c r="B117" s="14" t="s">
        <v>62</v>
      </c>
      <c r="C117" s="14" t="s">
        <v>644</v>
      </c>
      <c r="D117" s="14" t="s">
        <v>645</v>
      </c>
      <c r="E117" s="13" t="s">
        <v>154</v>
      </c>
      <c r="F117" s="14" t="s">
        <v>646</v>
      </c>
      <c r="G117" s="19">
        <v>10</v>
      </c>
      <c r="H117" s="11" t="s">
        <v>647</v>
      </c>
      <c r="I117" s="27" t="s">
        <v>157</v>
      </c>
      <c r="J117" s="28">
        <v>0</v>
      </c>
      <c r="K117" s="19" t="s">
        <v>648</v>
      </c>
      <c r="L117" s="19">
        <v>5.29032258064516</v>
      </c>
      <c r="M117" s="28">
        <v>5.29032258064516</v>
      </c>
      <c r="N117" s="28">
        <v>100</v>
      </c>
      <c r="O117" s="28">
        <f t="shared" si="7"/>
        <v>50</v>
      </c>
      <c r="P117" s="59">
        <v>2645.16129032258</v>
      </c>
      <c r="Q117" s="61">
        <v>2645</v>
      </c>
      <c r="R117" s="38" t="s">
        <v>649</v>
      </c>
      <c r="S117" s="38" t="s">
        <v>650</v>
      </c>
      <c r="T117" s="38" t="s">
        <v>649</v>
      </c>
      <c r="U117" s="38" t="s">
        <v>651</v>
      </c>
    </row>
    <row r="118" s="2" customFormat="1" ht="300" customHeight="1" spans="1:21">
      <c r="A118" s="11">
        <v>65</v>
      </c>
      <c r="B118" s="14" t="s">
        <v>63</v>
      </c>
      <c r="C118" s="14" t="s">
        <v>652</v>
      </c>
      <c r="D118" s="14" t="s">
        <v>653</v>
      </c>
      <c r="E118" s="13" t="s">
        <v>154</v>
      </c>
      <c r="F118" s="14" t="s">
        <v>654</v>
      </c>
      <c r="G118" s="19">
        <v>290.95</v>
      </c>
      <c r="H118" s="11" t="s">
        <v>655</v>
      </c>
      <c r="I118" s="27" t="s">
        <v>220</v>
      </c>
      <c r="J118" s="28">
        <v>12</v>
      </c>
      <c r="K118" s="19" t="s">
        <v>265</v>
      </c>
      <c r="L118" s="19">
        <v>4</v>
      </c>
      <c r="M118" s="28">
        <v>16</v>
      </c>
      <c r="N118" s="28">
        <v>86.5236638597697</v>
      </c>
      <c r="O118" s="28">
        <f t="shared" si="7"/>
        <v>43.2618319298848</v>
      </c>
      <c r="P118" s="59">
        <v>50348.12</v>
      </c>
      <c r="Q118" s="61">
        <v>50348</v>
      </c>
      <c r="R118" s="38" t="s">
        <v>656</v>
      </c>
      <c r="S118" s="38" t="s">
        <v>657</v>
      </c>
      <c r="T118" s="38" t="s">
        <v>656</v>
      </c>
      <c r="U118" s="38" t="s">
        <v>658</v>
      </c>
    </row>
    <row r="119" s="2" customFormat="1" ht="300" customHeight="1" spans="1:21">
      <c r="A119" s="11">
        <v>66</v>
      </c>
      <c r="B119" s="14" t="s">
        <v>64</v>
      </c>
      <c r="C119" s="14" t="s">
        <v>659</v>
      </c>
      <c r="D119" s="14" t="s">
        <v>660</v>
      </c>
      <c r="E119" s="13" t="s">
        <v>154</v>
      </c>
      <c r="F119" s="14" t="s">
        <v>661</v>
      </c>
      <c r="G119" s="19">
        <v>20</v>
      </c>
      <c r="H119" s="11" t="s">
        <v>662</v>
      </c>
      <c r="I119" s="27" t="s">
        <v>157</v>
      </c>
      <c r="J119" s="28">
        <v>0</v>
      </c>
      <c r="K119" s="19" t="s">
        <v>663</v>
      </c>
      <c r="L119" s="19">
        <v>10.2258064516129</v>
      </c>
      <c r="M119" s="28">
        <v>10.2258064516129</v>
      </c>
      <c r="N119" s="28">
        <v>130</v>
      </c>
      <c r="O119" s="28">
        <v>60</v>
      </c>
      <c r="P119" s="59">
        <v>12270.9677419355</v>
      </c>
      <c r="Q119" s="61">
        <v>12270</v>
      </c>
      <c r="R119" s="38" t="s">
        <v>664</v>
      </c>
      <c r="S119" s="38" t="s">
        <v>665</v>
      </c>
      <c r="T119" s="38" t="s">
        <v>664</v>
      </c>
      <c r="U119" s="38" t="s">
        <v>666</v>
      </c>
    </row>
    <row r="120" s="2" customFormat="1" ht="150" customHeight="1" spans="1:21">
      <c r="A120" s="11">
        <v>67</v>
      </c>
      <c r="B120" s="14" t="s">
        <v>65</v>
      </c>
      <c r="C120" s="14" t="s">
        <v>667</v>
      </c>
      <c r="D120" s="14" t="s">
        <v>668</v>
      </c>
      <c r="E120" s="17" t="s">
        <v>154</v>
      </c>
      <c r="F120" s="14" t="s">
        <v>669</v>
      </c>
      <c r="G120" s="19">
        <v>690</v>
      </c>
      <c r="H120" s="11" t="s">
        <v>475</v>
      </c>
      <c r="I120" s="27" t="s">
        <v>220</v>
      </c>
      <c r="J120" s="28">
        <v>9</v>
      </c>
      <c r="K120" s="19" t="s">
        <v>475</v>
      </c>
      <c r="L120" s="19">
        <v>7</v>
      </c>
      <c r="M120" s="28">
        <v>21</v>
      </c>
      <c r="N120" s="28">
        <v>139</v>
      </c>
      <c r="O120" s="28">
        <v>60</v>
      </c>
      <c r="P120" s="59">
        <v>289800</v>
      </c>
      <c r="Q120" s="61">
        <v>300000</v>
      </c>
      <c r="R120" s="38" t="s">
        <v>476</v>
      </c>
      <c r="S120" s="38" t="s">
        <v>477</v>
      </c>
      <c r="T120" s="38" t="s">
        <v>476</v>
      </c>
      <c r="U120" s="38" t="s">
        <v>478</v>
      </c>
    </row>
    <row r="121" s="2" customFormat="1" ht="150" customHeight="1" spans="1:21">
      <c r="A121" s="11"/>
      <c r="B121" s="14"/>
      <c r="C121" s="14"/>
      <c r="D121" s="14"/>
      <c r="E121" s="18"/>
      <c r="F121" s="14" t="s">
        <v>670</v>
      </c>
      <c r="G121" s="19">
        <v>40</v>
      </c>
      <c r="H121" s="11" t="s">
        <v>671</v>
      </c>
      <c r="I121" s="27"/>
      <c r="J121" s="28"/>
      <c r="K121" s="19" t="s">
        <v>314</v>
      </c>
      <c r="L121" s="19">
        <v>5</v>
      </c>
      <c r="M121" s="28"/>
      <c r="N121" s="28">
        <v>139</v>
      </c>
      <c r="O121" s="28">
        <v>60</v>
      </c>
      <c r="P121" s="59">
        <v>12000</v>
      </c>
      <c r="Q121" s="61"/>
      <c r="R121" s="38"/>
      <c r="S121" s="38"/>
      <c r="T121" s="38"/>
      <c r="U121" s="38"/>
    </row>
    <row r="122" s="2" customFormat="1" ht="300" customHeight="1" spans="1:21">
      <c r="A122" s="11">
        <v>68</v>
      </c>
      <c r="B122" s="14" t="s">
        <v>66</v>
      </c>
      <c r="C122" s="14" t="s">
        <v>672</v>
      </c>
      <c r="D122" s="14" t="s">
        <v>673</v>
      </c>
      <c r="E122" s="13" t="s">
        <v>154</v>
      </c>
      <c r="F122" s="14" t="s">
        <v>674</v>
      </c>
      <c r="G122" s="19">
        <v>353</v>
      </c>
      <c r="H122" s="11" t="s">
        <v>675</v>
      </c>
      <c r="I122" s="27" t="s">
        <v>220</v>
      </c>
      <c r="J122" s="28">
        <v>6</v>
      </c>
      <c r="K122" s="19" t="s">
        <v>676</v>
      </c>
      <c r="L122" s="19">
        <v>10</v>
      </c>
      <c r="M122" s="28">
        <v>16</v>
      </c>
      <c r="N122" s="28">
        <v>140</v>
      </c>
      <c r="O122" s="28">
        <v>60</v>
      </c>
      <c r="P122" s="59">
        <v>211800</v>
      </c>
      <c r="Q122" s="61">
        <v>211800</v>
      </c>
      <c r="R122" s="38" t="s">
        <v>677</v>
      </c>
      <c r="S122" s="38" t="s">
        <v>678</v>
      </c>
      <c r="T122" s="38" t="s">
        <v>677</v>
      </c>
      <c r="U122" s="38" t="s">
        <v>679</v>
      </c>
    </row>
    <row r="123" s="2" customFormat="1" ht="150" customHeight="1" spans="1:21">
      <c r="A123" s="11">
        <v>69</v>
      </c>
      <c r="B123" s="14" t="s">
        <v>67</v>
      </c>
      <c r="C123" s="14" t="s">
        <v>680</v>
      </c>
      <c r="D123" s="14" t="s">
        <v>681</v>
      </c>
      <c r="E123" s="17" t="s">
        <v>154</v>
      </c>
      <c r="F123" s="14" t="s">
        <v>682</v>
      </c>
      <c r="G123" s="19">
        <v>843.72</v>
      </c>
      <c r="H123" s="11" t="s">
        <v>683</v>
      </c>
      <c r="I123" s="27" t="s">
        <v>220</v>
      </c>
      <c r="J123" s="28">
        <v>3</v>
      </c>
      <c r="K123" s="19" t="s">
        <v>684</v>
      </c>
      <c r="L123" s="19">
        <v>10</v>
      </c>
      <c r="M123" s="28">
        <v>15</v>
      </c>
      <c r="N123" s="28">
        <v>143.17</v>
      </c>
      <c r="O123" s="28">
        <v>60</v>
      </c>
      <c r="P123" s="59">
        <v>506232</v>
      </c>
      <c r="Q123" s="61">
        <v>300000</v>
      </c>
      <c r="R123" s="38" t="s">
        <v>476</v>
      </c>
      <c r="S123" s="38" t="s">
        <v>477</v>
      </c>
      <c r="T123" s="38" t="s">
        <v>476</v>
      </c>
      <c r="U123" s="38" t="s">
        <v>478</v>
      </c>
    </row>
    <row r="124" s="2" customFormat="1" ht="150" customHeight="1" spans="1:21">
      <c r="A124" s="11"/>
      <c r="B124" s="14"/>
      <c r="C124" s="14"/>
      <c r="D124" s="14"/>
      <c r="E124" s="18"/>
      <c r="F124" s="14" t="s">
        <v>682</v>
      </c>
      <c r="G124" s="19">
        <v>8</v>
      </c>
      <c r="H124" s="11" t="s">
        <v>685</v>
      </c>
      <c r="I124" s="27"/>
      <c r="J124" s="28"/>
      <c r="K124" s="19" t="s">
        <v>228</v>
      </c>
      <c r="L124" s="19">
        <v>2</v>
      </c>
      <c r="M124" s="28"/>
      <c r="N124" s="28">
        <v>225</v>
      </c>
      <c r="O124" s="28">
        <v>60</v>
      </c>
      <c r="P124" s="59">
        <v>960</v>
      </c>
      <c r="Q124" s="61"/>
      <c r="R124" s="38"/>
      <c r="S124" s="38"/>
      <c r="T124" s="38"/>
      <c r="U124" s="38"/>
    </row>
    <row r="125" s="2" customFormat="1" ht="150" customHeight="1" spans="1:21">
      <c r="A125" s="11">
        <v>70</v>
      </c>
      <c r="B125" s="14" t="s">
        <v>68</v>
      </c>
      <c r="C125" s="14" t="s">
        <v>686</v>
      </c>
      <c r="D125" s="14" t="s">
        <v>687</v>
      </c>
      <c r="E125" s="17" t="s">
        <v>154</v>
      </c>
      <c r="F125" s="14" t="s">
        <v>688</v>
      </c>
      <c r="G125" s="19">
        <v>523.8</v>
      </c>
      <c r="H125" s="11" t="s">
        <v>689</v>
      </c>
      <c r="I125" s="27" t="s">
        <v>157</v>
      </c>
      <c r="J125" s="28">
        <v>0</v>
      </c>
      <c r="K125" s="19" t="s">
        <v>690</v>
      </c>
      <c r="L125" s="19">
        <v>0.3</v>
      </c>
      <c r="M125" s="28">
        <v>12.3</v>
      </c>
      <c r="N125" s="28">
        <v>168</v>
      </c>
      <c r="O125" s="28">
        <v>60</v>
      </c>
      <c r="P125" s="59">
        <v>9428.4</v>
      </c>
      <c r="Q125" s="61">
        <v>309428</v>
      </c>
      <c r="R125" s="38" t="s">
        <v>691</v>
      </c>
      <c r="S125" s="38" t="s">
        <v>692</v>
      </c>
      <c r="T125" s="38" t="s">
        <v>691</v>
      </c>
      <c r="U125" s="38" t="s">
        <v>693</v>
      </c>
    </row>
    <row r="126" s="2" customFormat="1" ht="150" customHeight="1" spans="1:21">
      <c r="A126" s="11"/>
      <c r="B126" s="14"/>
      <c r="C126" s="14"/>
      <c r="D126" s="14"/>
      <c r="E126" s="20"/>
      <c r="F126" s="14" t="s">
        <v>688</v>
      </c>
      <c r="G126" s="19">
        <v>523.8</v>
      </c>
      <c r="H126" s="11" t="s">
        <v>689</v>
      </c>
      <c r="I126" s="27"/>
      <c r="J126" s="28"/>
      <c r="K126" s="19" t="s">
        <v>694</v>
      </c>
      <c r="L126" s="19">
        <v>11</v>
      </c>
      <c r="M126" s="28"/>
      <c r="N126" s="28">
        <v>168</v>
      </c>
      <c r="O126" s="28">
        <v>60</v>
      </c>
      <c r="P126" s="59">
        <v>345708</v>
      </c>
      <c r="Q126" s="61"/>
      <c r="R126" s="38"/>
      <c r="S126" s="38"/>
      <c r="T126" s="38"/>
      <c r="U126" s="38"/>
    </row>
    <row r="127" s="2" customFormat="1" ht="150" customHeight="1" spans="1:21">
      <c r="A127" s="11"/>
      <c r="B127" s="14"/>
      <c r="C127" s="14"/>
      <c r="D127" s="14"/>
      <c r="E127" s="20"/>
      <c r="F127" s="14" t="s">
        <v>688</v>
      </c>
      <c r="G127" s="19">
        <v>523.8</v>
      </c>
      <c r="H127" s="11" t="s">
        <v>695</v>
      </c>
      <c r="I127" s="27"/>
      <c r="J127" s="28"/>
      <c r="K127" s="19" t="s">
        <v>542</v>
      </c>
      <c r="L127" s="19">
        <v>1</v>
      </c>
      <c r="M127" s="28"/>
      <c r="N127" s="28">
        <v>139</v>
      </c>
      <c r="O127" s="28">
        <v>60</v>
      </c>
      <c r="P127" s="59">
        <v>31428</v>
      </c>
      <c r="Q127" s="61"/>
      <c r="R127" s="38"/>
      <c r="S127" s="38"/>
      <c r="T127" s="38"/>
      <c r="U127" s="38"/>
    </row>
    <row r="128" s="2" customFormat="1" ht="150" customHeight="1" spans="1:21">
      <c r="A128" s="11"/>
      <c r="B128" s="14"/>
      <c r="C128" s="14"/>
      <c r="D128" s="14"/>
      <c r="E128" s="18"/>
      <c r="F128" s="14" t="s">
        <v>696</v>
      </c>
      <c r="G128" s="19">
        <v>195.37</v>
      </c>
      <c r="H128" s="11" t="s">
        <v>697</v>
      </c>
      <c r="I128" s="27"/>
      <c r="J128" s="28"/>
      <c r="K128" s="19" t="s">
        <v>602</v>
      </c>
      <c r="L128" s="19">
        <v>6</v>
      </c>
      <c r="M128" s="28"/>
      <c r="N128" s="39">
        <v>76</v>
      </c>
      <c r="O128" s="28">
        <f>N128*0.5</f>
        <v>38</v>
      </c>
      <c r="P128" s="59">
        <v>44544.36</v>
      </c>
      <c r="Q128" s="61"/>
      <c r="R128" s="38"/>
      <c r="S128" s="38"/>
      <c r="T128" s="38"/>
      <c r="U128" s="38"/>
    </row>
    <row r="129" ht="150" customHeight="1" spans="1:21">
      <c r="A129" s="11">
        <v>71</v>
      </c>
      <c r="B129" s="11" t="s">
        <v>69</v>
      </c>
      <c r="C129" s="11" t="s">
        <v>698</v>
      </c>
      <c r="D129" s="11" t="s">
        <v>699</v>
      </c>
      <c r="E129" s="17" t="s">
        <v>154</v>
      </c>
      <c r="F129" s="11" t="s">
        <v>700</v>
      </c>
      <c r="G129" s="27">
        <v>44</v>
      </c>
      <c r="H129" s="11" t="s">
        <v>684</v>
      </c>
      <c r="I129" s="11" t="s">
        <v>157</v>
      </c>
      <c r="J129" s="28">
        <v>0</v>
      </c>
      <c r="K129" s="11" t="s">
        <v>684</v>
      </c>
      <c r="L129" s="27">
        <v>10</v>
      </c>
      <c r="M129" s="28">
        <f>L129+L130</f>
        <v>12</v>
      </c>
      <c r="N129" s="29">
        <v>145.45</v>
      </c>
      <c r="O129" s="29">
        <v>60</v>
      </c>
      <c r="P129" s="64">
        <f t="shared" ref="P129:P134" si="8">L129*G129*60</f>
        <v>26400</v>
      </c>
      <c r="Q129" s="61">
        <v>28920</v>
      </c>
      <c r="R129" s="38" t="s">
        <v>701</v>
      </c>
      <c r="S129" s="38" t="s">
        <v>702</v>
      </c>
      <c r="T129" s="38" t="s">
        <v>701</v>
      </c>
      <c r="U129" s="38" t="str">
        <f t="shared" ref="U129:U135" si="9">"港澳处、律所、会所三方审核结论一致，符合给予租金补贴"&amp;Q129&amp;"元条件。"</f>
        <v>港澳处、律所、会所三方审核结论一致，符合给予租金补贴28920元条件。</v>
      </c>
    </row>
    <row r="130" ht="150" customHeight="1" spans="1:21">
      <c r="A130" s="11"/>
      <c r="B130" s="11"/>
      <c r="C130" s="11"/>
      <c r="D130" s="11"/>
      <c r="E130" s="18"/>
      <c r="F130" s="11" t="s">
        <v>703</v>
      </c>
      <c r="G130" s="27">
        <v>21</v>
      </c>
      <c r="H130" s="11" t="s">
        <v>228</v>
      </c>
      <c r="I130" s="11"/>
      <c r="J130" s="28"/>
      <c r="K130" s="11" t="s">
        <v>228</v>
      </c>
      <c r="L130" s="27">
        <v>2</v>
      </c>
      <c r="M130" s="28"/>
      <c r="N130" s="30">
        <v>142.86</v>
      </c>
      <c r="O130" s="43"/>
      <c r="P130" s="64">
        <f t="shared" si="8"/>
        <v>2520</v>
      </c>
      <c r="Q130" s="61"/>
      <c r="R130" s="38"/>
      <c r="S130" s="38"/>
      <c r="T130" s="38"/>
      <c r="U130" s="38"/>
    </row>
    <row r="131" ht="300" customHeight="1" spans="1:21">
      <c r="A131" s="11">
        <v>72</v>
      </c>
      <c r="B131" s="11" t="s">
        <v>70</v>
      </c>
      <c r="C131" s="11" t="s">
        <v>289</v>
      </c>
      <c r="D131" s="11" t="s">
        <v>704</v>
      </c>
      <c r="E131" s="13" t="s">
        <v>154</v>
      </c>
      <c r="F131" s="11" t="s">
        <v>705</v>
      </c>
      <c r="G131" s="27">
        <v>10</v>
      </c>
      <c r="H131" s="11" t="s">
        <v>706</v>
      </c>
      <c r="I131" s="11" t="s">
        <v>157</v>
      </c>
      <c r="J131" s="28">
        <v>0</v>
      </c>
      <c r="K131" s="11" t="s">
        <v>707</v>
      </c>
      <c r="L131" s="27">
        <f>11+(31-12+1)/31</f>
        <v>11.6451612903226</v>
      </c>
      <c r="M131" s="28">
        <f t="shared" ref="M131:M134" si="10">L131</f>
        <v>11.6451612903226</v>
      </c>
      <c r="N131" s="28">
        <v>150</v>
      </c>
      <c r="O131" s="28">
        <v>60</v>
      </c>
      <c r="P131" s="64">
        <f t="shared" si="8"/>
        <v>6987.09677419355</v>
      </c>
      <c r="Q131" s="61">
        <v>6987</v>
      </c>
      <c r="R131" s="38" t="s">
        <v>708</v>
      </c>
      <c r="S131" s="38" t="s">
        <v>709</v>
      </c>
      <c r="T131" s="38" t="s">
        <v>708</v>
      </c>
      <c r="U131" s="38" t="str">
        <f t="shared" si="9"/>
        <v>港澳处、律所、会所三方审核结论一致，符合给予租金补贴6987元条件。</v>
      </c>
    </row>
    <row r="132" ht="300" customHeight="1" spans="1:21">
      <c r="A132" s="11">
        <v>73</v>
      </c>
      <c r="B132" s="11" t="s">
        <v>71</v>
      </c>
      <c r="C132" s="11" t="s">
        <v>289</v>
      </c>
      <c r="D132" s="11" t="s">
        <v>710</v>
      </c>
      <c r="E132" s="14" t="s">
        <v>154</v>
      </c>
      <c r="F132" s="11" t="s">
        <v>711</v>
      </c>
      <c r="G132" s="26">
        <v>10</v>
      </c>
      <c r="H132" s="11" t="s">
        <v>291</v>
      </c>
      <c r="I132" s="11" t="s">
        <v>157</v>
      </c>
      <c r="J132" s="28">
        <v>0</v>
      </c>
      <c r="K132" s="11" t="s">
        <v>292</v>
      </c>
      <c r="L132" s="26">
        <f>5+(31-5+1)/31</f>
        <v>5.87096774193548</v>
      </c>
      <c r="M132" s="28">
        <f t="shared" si="10"/>
        <v>5.87096774193548</v>
      </c>
      <c r="N132" s="28">
        <v>150</v>
      </c>
      <c r="O132" s="28">
        <v>60</v>
      </c>
      <c r="P132" s="64">
        <f t="shared" si="8"/>
        <v>3522.58064516129</v>
      </c>
      <c r="Q132" s="61">
        <v>3522</v>
      </c>
      <c r="R132" s="38" t="s">
        <v>293</v>
      </c>
      <c r="S132" s="38" t="s">
        <v>294</v>
      </c>
      <c r="T132" s="38" t="s">
        <v>293</v>
      </c>
      <c r="U132" s="38" t="str">
        <f t="shared" si="9"/>
        <v>港澳处、律所、会所三方审核结论一致，符合给予租金补贴3522元条件。</v>
      </c>
    </row>
    <row r="133" ht="300" customHeight="1" spans="1:21">
      <c r="A133" s="11">
        <v>74</v>
      </c>
      <c r="B133" s="11" t="s">
        <v>72</v>
      </c>
      <c r="C133" s="11" t="s">
        <v>712</v>
      </c>
      <c r="D133" s="11" t="s">
        <v>713</v>
      </c>
      <c r="E133" s="13" t="s">
        <v>154</v>
      </c>
      <c r="F133" s="11" t="s">
        <v>714</v>
      </c>
      <c r="G133" s="27">
        <v>124.693</v>
      </c>
      <c r="H133" s="11" t="s">
        <v>715</v>
      </c>
      <c r="I133" s="11" t="s">
        <v>157</v>
      </c>
      <c r="J133" s="28">
        <v>0</v>
      </c>
      <c r="K133" s="11" t="s">
        <v>716</v>
      </c>
      <c r="L133" s="26">
        <v>9</v>
      </c>
      <c r="M133" s="28">
        <f t="shared" si="10"/>
        <v>9</v>
      </c>
      <c r="N133" s="28">
        <v>143.17</v>
      </c>
      <c r="O133" s="28">
        <v>60</v>
      </c>
      <c r="P133" s="64">
        <f t="shared" si="8"/>
        <v>67334.22</v>
      </c>
      <c r="Q133" s="61">
        <v>67334</v>
      </c>
      <c r="R133" s="38" t="s">
        <v>717</v>
      </c>
      <c r="S133" s="38" t="s">
        <v>718</v>
      </c>
      <c r="T133" s="38" t="s">
        <v>717</v>
      </c>
      <c r="U133" s="38" t="str">
        <f t="shared" si="9"/>
        <v>港澳处、律所、会所三方审核结论一致，符合给予租金补贴67334元条件。</v>
      </c>
    </row>
    <row r="134" ht="300" customHeight="1" spans="1:21">
      <c r="A134" s="11">
        <v>75</v>
      </c>
      <c r="B134" s="11" t="s">
        <v>73</v>
      </c>
      <c r="C134" s="11" t="s">
        <v>289</v>
      </c>
      <c r="D134" s="11" t="s">
        <v>719</v>
      </c>
      <c r="E134" s="13" t="s">
        <v>154</v>
      </c>
      <c r="F134" s="11" t="s">
        <v>705</v>
      </c>
      <c r="G134" s="26">
        <v>10</v>
      </c>
      <c r="H134" s="11" t="s">
        <v>720</v>
      </c>
      <c r="I134" s="11" t="s">
        <v>157</v>
      </c>
      <c r="J134" s="28">
        <v>0</v>
      </c>
      <c r="K134" s="11" t="s">
        <v>721</v>
      </c>
      <c r="L134" s="26">
        <f>(31-4+1)/31+5</f>
        <v>5.90322580645161</v>
      </c>
      <c r="M134" s="28">
        <f t="shared" si="10"/>
        <v>5.90322580645161</v>
      </c>
      <c r="N134" s="28">
        <v>150</v>
      </c>
      <c r="O134" s="28">
        <v>60</v>
      </c>
      <c r="P134" s="64">
        <f t="shared" si="8"/>
        <v>3541.93548387097</v>
      </c>
      <c r="Q134" s="61">
        <v>3541</v>
      </c>
      <c r="R134" s="38" t="s">
        <v>722</v>
      </c>
      <c r="S134" s="38" t="s">
        <v>723</v>
      </c>
      <c r="T134" s="38" t="s">
        <v>722</v>
      </c>
      <c r="U134" s="38" t="str">
        <f t="shared" si="9"/>
        <v>港澳处、律所、会所三方审核结论一致，符合给予租金补贴3541元条件。</v>
      </c>
    </row>
    <row r="135" ht="150" customHeight="1" spans="1:21">
      <c r="A135" s="11">
        <v>76</v>
      </c>
      <c r="B135" s="11" t="s">
        <v>74</v>
      </c>
      <c r="C135" s="11" t="s">
        <v>724</v>
      </c>
      <c r="D135" s="11" t="s">
        <v>725</v>
      </c>
      <c r="E135" s="17" t="s">
        <v>154</v>
      </c>
      <c r="F135" s="11" t="s">
        <v>726</v>
      </c>
      <c r="G135" s="26">
        <v>70</v>
      </c>
      <c r="H135" s="11" t="s">
        <v>727</v>
      </c>
      <c r="I135" s="11" t="s">
        <v>157</v>
      </c>
      <c r="J135" s="28">
        <v>0</v>
      </c>
      <c r="K135" s="11" t="s">
        <v>727</v>
      </c>
      <c r="L135" s="26">
        <f>(31-10+1)/31+6+18/31</f>
        <v>7.29032258064516</v>
      </c>
      <c r="M135" s="28">
        <f>L135+L136</f>
        <v>7.99032258064516</v>
      </c>
      <c r="N135" s="28">
        <v>120</v>
      </c>
      <c r="O135" s="28">
        <v>60</v>
      </c>
      <c r="P135" s="64">
        <f t="shared" ref="P135:P139" si="11">G135*L135*60</f>
        <v>30619.3548387097</v>
      </c>
      <c r="Q135" s="61">
        <v>33559</v>
      </c>
      <c r="R135" s="38" t="s">
        <v>728</v>
      </c>
      <c r="S135" s="38" t="s">
        <v>729</v>
      </c>
      <c r="T135" s="38" t="s">
        <v>728</v>
      </c>
      <c r="U135" s="38" t="str">
        <f t="shared" si="9"/>
        <v>港澳处、律所、会所三方审核结论一致，符合给予租金补贴33559元条件。</v>
      </c>
    </row>
    <row r="136" ht="150" customHeight="1" spans="1:21">
      <c r="A136" s="11"/>
      <c r="B136" s="11"/>
      <c r="C136" s="11"/>
      <c r="D136" s="11"/>
      <c r="E136" s="18"/>
      <c r="F136" s="11"/>
      <c r="G136" s="26">
        <v>70</v>
      </c>
      <c r="H136" s="11" t="s">
        <v>730</v>
      </c>
      <c r="I136" s="11"/>
      <c r="J136" s="28"/>
      <c r="K136" s="11" t="s">
        <v>730</v>
      </c>
      <c r="L136" s="26">
        <f>(30-10+1)/30</f>
        <v>0.7</v>
      </c>
      <c r="M136" s="28"/>
      <c r="N136" s="28">
        <v>120</v>
      </c>
      <c r="O136" s="28">
        <v>60</v>
      </c>
      <c r="P136" s="64">
        <f t="shared" si="11"/>
        <v>2940</v>
      </c>
      <c r="Q136" s="61"/>
      <c r="R136" s="38"/>
      <c r="S136" s="38"/>
      <c r="T136" s="38"/>
      <c r="U136" s="38"/>
    </row>
    <row r="137" ht="300" customHeight="1" spans="1:21">
      <c r="A137" s="11">
        <v>77</v>
      </c>
      <c r="B137" s="11" t="s">
        <v>75</v>
      </c>
      <c r="C137" s="11" t="s">
        <v>289</v>
      </c>
      <c r="D137" s="11" t="s">
        <v>731</v>
      </c>
      <c r="E137" s="13" t="s">
        <v>154</v>
      </c>
      <c r="F137" s="11" t="s">
        <v>705</v>
      </c>
      <c r="G137" s="27">
        <v>10</v>
      </c>
      <c r="H137" s="11" t="s">
        <v>291</v>
      </c>
      <c r="I137" s="11" t="s">
        <v>157</v>
      </c>
      <c r="J137" s="28">
        <v>0</v>
      </c>
      <c r="K137" s="11" t="s">
        <v>292</v>
      </c>
      <c r="L137" s="27">
        <f>5+(31-5+1)/31</f>
        <v>5.87096774193548</v>
      </c>
      <c r="M137" s="28">
        <f t="shared" ref="M137:M145" si="12">L137</f>
        <v>5.87096774193548</v>
      </c>
      <c r="N137" s="28">
        <v>150</v>
      </c>
      <c r="O137" s="28">
        <v>60</v>
      </c>
      <c r="P137" s="65">
        <f t="shared" si="11"/>
        <v>3522.58064516129</v>
      </c>
      <c r="Q137" s="61">
        <v>3522</v>
      </c>
      <c r="R137" s="38" t="s">
        <v>293</v>
      </c>
      <c r="S137" s="38" t="s">
        <v>294</v>
      </c>
      <c r="T137" s="38" t="s">
        <v>293</v>
      </c>
      <c r="U137" s="38" t="str">
        <f t="shared" ref="U137:U139" si="13">"港澳处、律所、会所三方审核结论一致，符合给予租金补贴"&amp;Q137&amp;"元条件。"</f>
        <v>港澳处、律所、会所三方审核结论一致，符合给予租金补贴3522元条件。</v>
      </c>
    </row>
    <row r="138" ht="300" customHeight="1" spans="1:21">
      <c r="A138" s="11">
        <v>78</v>
      </c>
      <c r="B138" s="11" t="s">
        <v>76</v>
      </c>
      <c r="C138" s="11" t="s">
        <v>732</v>
      </c>
      <c r="D138" s="11" t="s">
        <v>733</v>
      </c>
      <c r="E138" s="13" t="s">
        <v>154</v>
      </c>
      <c r="F138" s="11" t="s">
        <v>734</v>
      </c>
      <c r="G138" s="27">
        <v>10</v>
      </c>
      <c r="H138" s="11" t="s">
        <v>735</v>
      </c>
      <c r="I138" s="11" t="s">
        <v>157</v>
      </c>
      <c r="J138" s="28">
        <v>0</v>
      </c>
      <c r="K138" s="11" t="s">
        <v>736</v>
      </c>
      <c r="L138" s="27">
        <f>5+(31-21+1)/31</f>
        <v>5.35483870967742</v>
      </c>
      <c r="M138" s="28">
        <f t="shared" si="12"/>
        <v>5.35483870967742</v>
      </c>
      <c r="N138" s="28">
        <v>130</v>
      </c>
      <c r="O138" s="28">
        <v>60</v>
      </c>
      <c r="P138" s="65">
        <f t="shared" si="11"/>
        <v>3212.90322580645</v>
      </c>
      <c r="Q138" s="61">
        <v>3212</v>
      </c>
      <c r="R138" s="38" t="s">
        <v>737</v>
      </c>
      <c r="S138" s="38" t="s">
        <v>738</v>
      </c>
      <c r="T138" s="38" t="s">
        <v>737</v>
      </c>
      <c r="U138" s="38" t="str">
        <f t="shared" si="13"/>
        <v>港澳处、律所、会所三方审核结论一致，符合给予租金补贴3212元条件。</v>
      </c>
    </row>
    <row r="139" ht="150" customHeight="1" spans="1:21">
      <c r="A139" s="11">
        <v>79</v>
      </c>
      <c r="B139" s="11" t="s">
        <v>77</v>
      </c>
      <c r="C139" s="11" t="s">
        <v>739</v>
      </c>
      <c r="D139" s="11" t="s">
        <v>740</v>
      </c>
      <c r="E139" s="17" t="s">
        <v>154</v>
      </c>
      <c r="F139" s="11" t="s">
        <v>741</v>
      </c>
      <c r="G139" s="27">
        <v>70</v>
      </c>
      <c r="H139" s="11" t="s">
        <v>742</v>
      </c>
      <c r="I139" s="11" t="s">
        <v>220</v>
      </c>
      <c r="J139" s="28">
        <f>7+(30-14+1)/30</f>
        <v>7.56666666666667</v>
      </c>
      <c r="K139" s="27" t="s">
        <v>743</v>
      </c>
      <c r="L139" s="27">
        <f>4+13/30</f>
        <v>4.43333333333333</v>
      </c>
      <c r="M139" s="28">
        <f>J139+L139+L140</f>
        <v>19</v>
      </c>
      <c r="N139" s="28">
        <v>120</v>
      </c>
      <c r="O139" s="28">
        <v>60</v>
      </c>
      <c r="P139" s="65">
        <f t="shared" si="11"/>
        <v>18620</v>
      </c>
      <c r="Q139" s="61">
        <v>22120</v>
      </c>
      <c r="R139" s="38" t="s">
        <v>744</v>
      </c>
      <c r="S139" s="38" t="s">
        <v>745</v>
      </c>
      <c r="T139" s="38" t="s">
        <v>744</v>
      </c>
      <c r="U139" s="38" t="str">
        <f t="shared" si="13"/>
        <v>港澳处、律所、会所三方审核结论一致，符合给予租金补贴22120元条件。</v>
      </c>
    </row>
    <row r="140" ht="150" customHeight="1" spans="1:21">
      <c r="A140" s="11"/>
      <c r="B140" s="11"/>
      <c r="C140" s="11"/>
      <c r="D140" s="11"/>
      <c r="E140" s="18"/>
      <c r="F140" s="11" t="s">
        <v>746</v>
      </c>
      <c r="G140" s="27">
        <v>10</v>
      </c>
      <c r="H140" s="11" t="s">
        <v>747</v>
      </c>
      <c r="I140" s="11"/>
      <c r="J140" s="28"/>
      <c r="K140" s="11" t="s">
        <v>499</v>
      </c>
      <c r="L140" s="27">
        <v>7</v>
      </c>
      <c r="M140" s="28"/>
      <c r="N140" s="28">
        <v>100</v>
      </c>
      <c r="O140" s="28">
        <v>50</v>
      </c>
      <c r="P140" s="65">
        <f>G140*L140*50</f>
        <v>3500</v>
      </c>
      <c r="Q140" s="61"/>
      <c r="R140" s="38"/>
      <c r="S140" s="38"/>
      <c r="T140" s="38"/>
      <c r="U140" s="38"/>
    </row>
    <row r="141" ht="300" customHeight="1" spans="1:21">
      <c r="A141" s="11">
        <v>80</v>
      </c>
      <c r="B141" s="11" t="s">
        <v>78</v>
      </c>
      <c r="C141" s="11" t="s">
        <v>748</v>
      </c>
      <c r="D141" s="11" t="s">
        <v>749</v>
      </c>
      <c r="E141" s="13" t="s">
        <v>154</v>
      </c>
      <c r="F141" s="11" t="s">
        <v>750</v>
      </c>
      <c r="G141" s="27">
        <v>103</v>
      </c>
      <c r="H141" s="11" t="s">
        <v>751</v>
      </c>
      <c r="I141" s="11" t="s">
        <v>157</v>
      </c>
      <c r="J141" s="28">
        <v>0</v>
      </c>
      <c r="K141" s="11" t="s">
        <v>752</v>
      </c>
      <c r="L141" s="27">
        <f>9+(30-12+1)/30</f>
        <v>9.63333333333333</v>
      </c>
      <c r="M141" s="28">
        <f t="shared" si="12"/>
        <v>9.63333333333333</v>
      </c>
      <c r="N141" s="28">
        <v>143.09</v>
      </c>
      <c r="O141" s="28">
        <v>60</v>
      </c>
      <c r="P141" s="65">
        <f t="shared" ref="P141:P145" si="14">G141*L141*60</f>
        <v>59534</v>
      </c>
      <c r="Q141" s="61">
        <v>59534</v>
      </c>
      <c r="R141" s="38" t="s">
        <v>753</v>
      </c>
      <c r="S141" s="38" t="s">
        <v>754</v>
      </c>
      <c r="T141" s="38" t="s">
        <v>753</v>
      </c>
      <c r="U141" s="38" t="str">
        <f t="shared" ref="U141:U146" si="15">"港澳处、律所、会所三方审核结论一致，符合给予租金补贴"&amp;Q141&amp;"元条件。"</f>
        <v>港澳处、律所、会所三方审核结论一致，符合给予租金补贴59534元条件。</v>
      </c>
    </row>
    <row r="142" ht="300" customHeight="1" spans="1:21">
      <c r="A142" s="11">
        <v>81</v>
      </c>
      <c r="B142" s="11" t="s">
        <v>79</v>
      </c>
      <c r="C142" s="11" t="s">
        <v>755</v>
      </c>
      <c r="D142" s="11" t="s">
        <v>756</v>
      </c>
      <c r="E142" s="13" t="s">
        <v>154</v>
      </c>
      <c r="F142" s="11" t="s">
        <v>757</v>
      </c>
      <c r="G142" s="27">
        <v>10</v>
      </c>
      <c r="H142" s="11" t="s">
        <v>758</v>
      </c>
      <c r="I142" s="11" t="s">
        <v>157</v>
      </c>
      <c r="J142" s="28">
        <v>0</v>
      </c>
      <c r="K142" s="27" t="s">
        <v>602</v>
      </c>
      <c r="L142" s="27">
        <v>6</v>
      </c>
      <c r="M142" s="28">
        <f t="shared" si="12"/>
        <v>6</v>
      </c>
      <c r="N142" s="28">
        <v>150</v>
      </c>
      <c r="O142" s="28">
        <v>60</v>
      </c>
      <c r="P142" s="65">
        <f t="shared" si="14"/>
        <v>3600</v>
      </c>
      <c r="Q142" s="61">
        <v>3600</v>
      </c>
      <c r="R142" s="38" t="s">
        <v>759</v>
      </c>
      <c r="S142" s="38" t="s">
        <v>760</v>
      </c>
      <c r="T142" s="38" t="s">
        <v>759</v>
      </c>
      <c r="U142" s="38" t="str">
        <f t="shared" si="15"/>
        <v>港澳处、律所、会所三方审核结论一致，符合给予租金补贴3600元条件。</v>
      </c>
    </row>
    <row r="143" ht="300" customHeight="1" spans="1:21">
      <c r="A143" s="11">
        <v>82</v>
      </c>
      <c r="B143" s="11" t="s">
        <v>80</v>
      </c>
      <c r="C143" s="11" t="s">
        <v>396</v>
      </c>
      <c r="D143" s="11" t="s">
        <v>761</v>
      </c>
      <c r="E143" s="14" t="s">
        <v>154</v>
      </c>
      <c r="F143" s="11" t="s">
        <v>762</v>
      </c>
      <c r="G143" s="27">
        <v>10</v>
      </c>
      <c r="H143" s="11" t="s">
        <v>763</v>
      </c>
      <c r="I143" s="11" t="s">
        <v>157</v>
      </c>
      <c r="J143" s="28">
        <v>0</v>
      </c>
      <c r="K143" s="11" t="s">
        <v>382</v>
      </c>
      <c r="L143" s="27">
        <v>13</v>
      </c>
      <c r="M143" s="28">
        <f t="shared" si="12"/>
        <v>13</v>
      </c>
      <c r="N143" s="28">
        <v>150</v>
      </c>
      <c r="O143" s="28">
        <v>60</v>
      </c>
      <c r="P143" s="65">
        <f t="shared" si="14"/>
        <v>7800</v>
      </c>
      <c r="Q143" s="61">
        <v>7800</v>
      </c>
      <c r="R143" s="38" t="s">
        <v>383</v>
      </c>
      <c r="S143" s="38" t="s">
        <v>384</v>
      </c>
      <c r="T143" s="38" t="s">
        <v>383</v>
      </c>
      <c r="U143" s="38" t="str">
        <f t="shared" si="15"/>
        <v>港澳处、律所、会所三方审核结论一致，符合给予租金补贴7800元条件。</v>
      </c>
    </row>
    <row r="144" ht="300" customHeight="1" spans="1:21">
      <c r="A144" s="11">
        <v>83</v>
      </c>
      <c r="B144" s="11" t="s">
        <v>81</v>
      </c>
      <c r="C144" s="11" t="s">
        <v>289</v>
      </c>
      <c r="D144" s="11" t="s">
        <v>764</v>
      </c>
      <c r="E144" s="14" t="s">
        <v>154</v>
      </c>
      <c r="F144" s="11" t="s">
        <v>765</v>
      </c>
      <c r="G144" s="27">
        <v>10</v>
      </c>
      <c r="H144" s="11" t="s">
        <v>766</v>
      </c>
      <c r="I144" s="11" t="s">
        <v>157</v>
      </c>
      <c r="J144" s="28">
        <v>0</v>
      </c>
      <c r="K144" s="11" t="s">
        <v>767</v>
      </c>
      <c r="L144" s="27">
        <f>(31-16+1)/31+9+6</f>
        <v>15.5161290322581</v>
      </c>
      <c r="M144" s="28">
        <f t="shared" si="12"/>
        <v>15.5161290322581</v>
      </c>
      <c r="N144" s="28">
        <v>150</v>
      </c>
      <c r="O144" s="28">
        <v>60</v>
      </c>
      <c r="P144" s="65">
        <f t="shared" si="14"/>
        <v>9309.67741935484</v>
      </c>
      <c r="Q144" s="61">
        <v>9309</v>
      </c>
      <c r="R144" s="38" t="s">
        <v>768</v>
      </c>
      <c r="S144" s="38" t="s">
        <v>769</v>
      </c>
      <c r="T144" s="38" t="s">
        <v>768</v>
      </c>
      <c r="U144" s="38" t="str">
        <f t="shared" si="15"/>
        <v>港澳处、律所、会所三方审核结论一致，符合给予租金补贴9309元条件。</v>
      </c>
    </row>
    <row r="145" ht="300" customHeight="1" spans="1:21">
      <c r="A145" s="11">
        <v>84</v>
      </c>
      <c r="B145" s="11" t="s">
        <v>82</v>
      </c>
      <c r="C145" s="11" t="s">
        <v>770</v>
      </c>
      <c r="D145" s="11" t="s">
        <v>771</v>
      </c>
      <c r="E145" s="13" t="s">
        <v>154</v>
      </c>
      <c r="F145" s="11" t="s">
        <v>772</v>
      </c>
      <c r="G145" s="27">
        <v>152</v>
      </c>
      <c r="H145" s="11" t="s">
        <v>613</v>
      </c>
      <c r="I145" s="11" t="s">
        <v>157</v>
      </c>
      <c r="J145" s="28">
        <v>0</v>
      </c>
      <c r="K145" s="11" t="s">
        <v>602</v>
      </c>
      <c r="L145" s="27">
        <v>6</v>
      </c>
      <c r="M145" s="28">
        <f t="shared" si="12"/>
        <v>6</v>
      </c>
      <c r="N145" s="28">
        <v>120</v>
      </c>
      <c r="O145" s="28">
        <v>60</v>
      </c>
      <c r="P145" s="65">
        <f t="shared" si="14"/>
        <v>54720</v>
      </c>
      <c r="Q145" s="61">
        <v>54720</v>
      </c>
      <c r="R145" s="38" t="s">
        <v>773</v>
      </c>
      <c r="S145" s="38" t="s">
        <v>774</v>
      </c>
      <c r="T145" s="38" t="s">
        <v>773</v>
      </c>
      <c r="U145" s="38" t="str">
        <f t="shared" si="15"/>
        <v>港澳处、律所、会所三方审核结论一致，符合给予租金补贴54720元条件。</v>
      </c>
    </row>
    <row r="146" ht="150" customHeight="1" spans="1:21">
      <c r="A146" s="11">
        <v>85</v>
      </c>
      <c r="B146" s="11" t="s">
        <v>83</v>
      </c>
      <c r="C146" s="11" t="s">
        <v>282</v>
      </c>
      <c r="D146" s="11" t="s">
        <v>775</v>
      </c>
      <c r="E146" s="17" t="s">
        <v>154</v>
      </c>
      <c r="F146" s="11" t="s">
        <v>776</v>
      </c>
      <c r="G146" s="27">
        <v>80</v>
      </c>
      <c r="H146" s="11" t="s">
        <v>777</v>
      </c>
      <c r="I146" s="11" t="s">
        <v>220</v>
      </c>
      <c r="J146" s="28">
        <v>6</v>
      </c>
      <c r="K146" s="27" t="s">
        <v>609</v>
      </c>
      <c r="L146" s="27">
        <v>6</v>
      </c>
      <c r="M146" s="28">
        <f>L146+L147+L148+J146</f>
        <v>18</v>
      </c>
      <c r="N146" s="28">
        <f>7500/80</f>
        <v>93.75</v>
      </c>
      <c r="O146" s="28">
        <f t="shared" ref="O146:O148" si="16">N146*0.5</f>
        <v>46.875</v>
      </c>
      <c r="P146" s="65">
        <f>G146*L146*7500/80/2</f>
        <v>22500</v>
      </c>
      <c r="Q146" s="61">
        <v>27616</v>
      </c>
      <c r="R146" s="38" t="s">
        <v>778</v>
      </c>
      <c r="S146" s="38" t="s">
        <v>779</v>
      </c>
      <c r="T146" s="38" t="s">
        <v>778</v>
      </c>
      <c r="U146" s="38" t="str">
        <f t="shared" si="15"/>
        <v>港澳处、律所、会所三方审核结论一致，符合给予租金补贴27616元条件。</v>
      </c>
    </row>
    <row r="147" ht="150" customHeight="1" spans="1:21">
      <c r="A147" s="11"/>
      <c r="B147" s="11"/>
      <c r="C147" s="11"/>
      <c r="D147" s="11"/>
      <c r="E147" s="20"/>
      <c r="F147" s="11" t="s">
        <v>780</v>
      </c>
      <c r="G147" s="27">
        <v>80</v>
      </c>
      <c r="H147" s="11" t="s">
        <v>501</v>
      </c>
      <c r="I147" s="11"/>
      <c r="J147" s="28"/>
      <c r="K147" s="11" t="s">
        <v>501</v>
      </c>
      <c r="L147" s="27">
        <v>1</v>
      </c>
      <c r="M147" s="28"/>
      <c r="N147" s="28">
        <f>5232/80</f>
        <v>65.4</v>
      </c>
      <c r="O147" s="28">
        <f t="shared" si="16"/>
        <v>32.7</v>
      </c>
      <c r="P147" s="65">
        <f>G147*L147*5232/80/2</f>
        <v>2616</v>
      </c>
      <c r="Q147" s="61"/>
      <c r="R147" s="38"/>
      <c r="S147" s="38"/>
      <c r="T147" s="38"/>
      <c r="U147" s="38"/>
    </row>
    <row r="148" ht="150" customHeight="1" spans="1:21">
      <c r="A148" s="11"/>
      <c r="B148" s="11"/>
      <c r="C148" s="11"/>
      <c r="D148" s="11"/>
      <c r="E148" s="18"/>
      <c r="F148" s="11" t="s">
        <v>781</v>
      </c>
      <c r="G148" s="27">
        <v>8.5</v>
      </c>
      <c r="H148" s="11" t="s">
        <v>782</v>
      </c>
      <c r="I148" s="11"/>
      <c r="J148" s="28"/>
      <c r="K148" s="11" t="s">
        <v>314</v>
      </c>
      <c r="L148" s="27">
        <v>5</v>
      </c>
      <c r="M148" s="28"/>
      <c r="N148" s="28">
        <f>1000/8.5</f>
        <v>117.647058823529</v>
      </c>
      <c r="O148" s="28">
        <f t="shared" si="16"/>
        <v>58.8235294117647</v>
      </c>
      <c r="P148" s="65">
        <f>G148*L148*1000/8.5/2</f>
        <v>2500</v>
      </c>
      <c r="Q148" s="61"/>
      <c r="R148" s="38"/>
      <c r="S148" s="38"/>
      <c r="T148" s="38"/>
      <c r="U148" s="38"/>
    </row>
    <row r="149" ht="150" customHeight="1" spans="1:21">
      <c r="A149" s="11">
        <v>86</v>
      </c>
      <c r="B149" s="11" t="s">
        <v>84</v>
      </c>
      <c r="C149" s="11" t="s">
        <v>783</v>
      </c>
      <c r="D149" s="11" t="s">
        <v>784</v>
      </c>
      <c r="E149" s="17" t="s">
        <v>154</v>
      </c>
      <c r="F149" s="11" t="s">
        <v>785</v>
      </c>
      <c r="G149" s="27">
        <v>42</v>
      </c>
      <c r="H149" s="11" t="s">
        <v>786</v>
      </c>
      <c r="I149" s="11" t="s">
        <v>157</v>
      </c>
      <c r="J149" s="28">
        <v>0</v>
      </c>
      <c r="K149" s="11" t="s">
        <v>786</v>
      </c>
      <c r="L149" s="27">
        <v>4</v>
      </c>
      <c r="M149" s="28">
        <f>L149+L151+L150</f>
        <v>13</v>
      </c>
      <c r="N149" s="28">
        <f>9000/42</f>
        <v>214.285714285714</v>
      </c>
      <c r="O149" s="28">
        <v>60</v>
      </c>
      <c r="P149" s="65">
        <f t="shared" ref="P149:P162" si="17">G149*L149*60</f>
        <v>10080</v>
      </c>
      <c r="Q149" s="61">
        <v>17580</v>
      </c>
      <c r="R149" s="38" t="s">
        <v>787</v>
      </c>
      <c r="S149" s="38" t="s">
        <v>788</v>
      </c>
      <c r="T149" s="38" t="s">
        <v>787</v>
      </c>
      <c r="U149" s="38" t="str">
        <f t="shared" ref="U149:U153" si="18">"港澳处、律所、会所三方审核结论一致，符合给予租金补贴"&amp;Q149&amp;"元条件。"</f>
        <v>港澳处、律所、会所三方审核结论一致，符合给予租金补贴17580元条件。</v>
      </c>
    </row>
    <row r="150" ht="150" customHeight="1" spans="1:21">
      <c r="A150" s="11"/>
      <c r="B150" s="11"/>
      <c r="C150" s="11"/>
      <c r="D150" s="11"/>
      <c r="E150" s="20"/>
      <c r="F150" s="11" t="s">
        <v>789</v>
      </c>
      <c r="G150" s="27">
        <v>15</v>
      </c>
      <c r="H150" s="11" t="s">
        <v>790</v>
      </c>
      <c r="I150" s="11"/>
      <c r="J150" s="28"/>
      <c r="K150" s="27" t="s">
        <v>791</v>
      </c>
      <c r="L150" s="27">
        <v>5</v>
      </c>
      <c r="M150" s="28"/>
      <c r="N150" s="28">
        <f>3000/15</f>
        <v>200</v>
      </c>
      <c r="O150" s="28">
        <v>60</v>
      </c>
      <c r="P150" s="65">
        <f>G151*5*60</f>
        <v>4500</v>
      </c>
      <c r="Q150" s="61"/>
      <c r="R150" s="38"/>
      <c r="S150" s="38"/>
      <c r="T150" s="38"/>
      <c r="U150" s="38"/>
    </row>
    <row r="151" ht="150" customHeight="1" spans="1:21">
      <c r="A151" s="11"/>
      <c r="B151" s="11"/>
      <c r="C151" s="11"/>
      <c r="D151" s="11"/>
      <c r="E151" s="18"/>
      <c r="F151" s="11" t="s">
        <v>789</v>
      </c>
      <c r="G151" s="27">
        <v>15</v>
      </c>
      <c r="H151" s="11" t="s">
        <v>790</v>
      </c>
      <c r="I151" s="11"/>
      <c r="J151" s="28"/>
      <c r="K151" s="27" t="s">
        <v>320</v>
      </c>
      <c r="L151" s="27">
        <v>4</v>
      </c>
      <c r="M151" s="28"/>
      <c r="N151" s="28">
        <f>1500/15</f>
        <v>100</v>
      </c>
      <c r="O151" s="28">
        <f>N151*0.5</f>
        <v>50</v>
      </c>
      <c r="P151" s="65">
        <f>1500*4*0.5</f>
        <v>3000</v>
      </c>
      <c r="Q151" s="61"/>
      <c r="R151" s="38"/>
      <c r="S151" s="38"/>
      <c r="T151" s="38"/>
      <c r="U151" s="38"/>
    </row>
    <row r="152" s="3" customFormat="1" ht="300" customHeight="1" spans="1:21">
      <c r="A152" s="11">
        <v>87</v>
      </c>
      <c r="B152" s="11" t="s">
        <v>85</v>
      </c>
      <c r="C152" s="11" t="s">
        <v>792</v>
      </c>
      <c r="D152" s="11" t="s">
        <v>793</v>
      </c>
      <c r="E152" s="14" t="s">
        <v>154</v>
      </c>
      <c r="F152" s="11" t="s">
        <v>794</v>
      </c>
      <c r="G152" s="27">
        <v>836.48</v>
      </c>
      <c r="H152" s="11" t="s">
        <v>795</v>
      </c>
      <c r="I152" s="11" t="s">
        <v>157</v>
      </c>
      <c r="J152" s="28">
        <v>0</v>
      </c>
      <c r="K152" s="27" t="s">
        <v>228</v>
      </c>
      <c r="L152" s="27">
        <v>2</v>
      </c>
      <c r="M152" s="28">
        <f>L152</f>
        <v>2</v>
      </c>
      <c r="N152" s="28">
        <v>139</v>
      </c>
      <c r="O152" s="28">
        <v>60</v>
      </c>
      <c r="P152" s="65">
        <f t="shared" si="17"/>
        <v>100377.6</v>
      </c>
      <c r="Q152" s="61">
        <v>100377</v>
      </c>
      <c r="R152" s="38" t="s">
        <v>796</v>
      </c>
      <c r="S152" s="38" t="s">
        <v>797</v>
      </c>
      <c r="T152" s="38" t="s">
        <v>796</v>
      </c>
      <c r="U152" s="38" t="str">
        <f t="shared" si="18"/>
        <v>港澳处、律所、会所三方审核结论一致，符合给予租金补贴100377元条件。</v>
      </c>
    </row>
    <row r="153" ht="150" customHeight="1" spans="1:21">
      <c r="A153" s="11">
        <v>88</v>
      </c>
      <c r="B153" s="11" t="s">
        <v>86</v>
      </c>
      <c r="C153" s="11" t="s">
        <v>798</v>
      </c>
      <c r="D153" s="11" t="s">
        <v>799</v>
      </c>
      <c r="E153" s="17" t="s">
        <v>154</v>
      </c>
      <c r="F153" s="11" t="s">
        <v>800</v>
      </c>
      <c r="G153" s="27">
        <v>800</v>
      </c>
      <c r="H153" s="11" t="s">
        <v>801</v>
      </c>
      <c r="I153" s="11" t="s">
        <v>220</v>
      </c>
      <c r="J153" s="28">
        <v>9</v>
      </c>
      <c r="K153" s="11" t="s">
        <v>801</v>
      </c>
      <c r="L153" s="27">
        <v>8</v>
      </c>
      <c r="M153" s="28">
        <f>J153+L153+L154</f>
        <v>21</v>
      </c>
      <c r="N153" s="28">
        <v>120</v>
      </c>
      <c r="O153" s="28">
        <v>60</v>
      </c>
      <c r="P153" s="65">
        <f t="shared" si="17"/>
        <v>384000</v>
      </c>
      <c r="Q153" s="61">
        <v>300000</v>
      </c>
      <c r="R153" s="38" t="s">
        <v>476</v>
      </c>
      <c r="S153" s="38" t="s">
        <v>477</v>
      </c>
      <c r="T153" s="38" t="s">
        <v>476</v>
      </c>
      <c r="U153" s="38" t="str">
        <f t="shared" si="18"/>
        <v>港澳处、律所、会所三方审核结论一致，符合给予租金补贴300000元条件。</v>
      </c>
    </row>
    <row r="154" ht="150" customHeight="1" spans="1:21">
      <c r="A154" s="11"/>
      <c r="B154" s="11"/>
      <c r="C154" s="11"/>
      <c r="D154" s="11"/>
      <c r="E154" s="18"/>
      <c r="F154" s="11" t="s">
        <v>802</v>
      </c>
      <c r="G154" s="27">
        <v>344</v>
      </c>
      <c r="H154" s="11" t="s">
        <v>319</v>
      </c>
      <c r="I154" s="11"/>
      <c r="J154" s="28"/>
      <c r="K154" s="27" t="s">
        <v>320</v>
      </c>
      <c r="L154" s="27">
        <v>4</v>
      </c>
      <c r="M154" s="28"/>
      <c r="N154" s="28">
        <v>120</v>
      </c>
      <c r="O154" s="28">
        <v>60</v>
      </c>
      <c r="P154" s="65">
        <f t="shared" si="17"/>
        <v>82560</v>
      </c>
      <c r="Q154" s="61"/>
      <c r="R154" s="38"/>
      <c r="S154" s="38"/>
      <c r="T154" s="38"/>
      <c r="U154" s="38"/>
    </row>
    <row r="155" ht="150" customHeight="1" spans="1:21">
      <c r="A155" s="11">
        <v>89</v>
      </c>
      <c r="B155" s="11" t="s">
        <v>87</v>
      </c>
      <c r="C155" s="11" t="s">
        <v>803</v>
      </c>
      <c r="D155" s="11" t="s">
        <v>804</v>
      </c>
      <c r="E155" s="17" t="s">
        <v>154</v>
      </c>
      <c r="F155" s="11" t="s">
        <v>805</v>
      </c>
      <c r="G155" s="27">
        <v>530</v>
      </c>
      <c r="H155" s="11" t="s">
        <v>806</v>
      </c>
      <c r="I155" s="11" t="s">
        <v>220</v>
      </c>
      <c r="J155" s="28">
        <f>(31-8+1)/31+5</f>
        <v>5.7741935483871</v>
      </c>
      <c r="K155" s="27" t="s">
        <v>265</v>
      </c>
      <c r="L155" s="27">
        <v>4</v>
      </c>
      <c r="M155" s="28">
        <f>L155+L156+J155</f>
        <v>15.5161290322581</v>
      </c>
      <c r="N155" s="28">
        <v>125</v>
      </c>
      <c r="O155" s="28">
        <v>60</v>
      </c>
      <c r="P155" s="65">
        <f t="shared" si="17"/>
        <v>127200</v>
      </c>
      <c r="Q155" s="61">
        <v>129956</v>
      </c>
      <c r="R155" s="38" t="s">
        <v>807</v>
      </c>
      <c r="S155" s="38" t="s">
        <v>808</v>
      </c>
      <c r="T155" s="38" t="s">
        <v>807</v>
      </c>
      <c r="U155" s="38" t="str">
        <f>"港澳处、律所、会所三方审核结论一致，符合给予租金补贴"&amp;Q155&amp;"元条件。"</f>
        <v>港澳处、律所、会所三方审核结论一致，符合给予租金补贴129956元条件。</v>
      </c>
    </row>
    <row r="156" ht="150" customHeight="1" spans="1:21">
      <c r="A156" s="11"/>
      <c r="B156" s="11"/>
      <c r="C156" s="11"/>
      <c r="D156" s="11"/>
      <c r="E156" s="18"/>
      <c r="F156" s="11" t="s">
        <v>809</v>
      </c>
      <c r="G156" s="27">
        <v>8</v>
      </c>
      <c r="H156" s="11" t="s">
        <v>810</v>
      </c>
      <c r="I156" s="11"/>
      <c r="J156" s="28"/>
      <c r="K156" s="11" t="s">
        <v>811</v>
      </c>
      <c r="L156" s="27">
        <f>(31-9+1)/31+5</f>
        <v>5.74193548387097</v>
      </c>
      <c r="M156" s="28"/>
      <c r="N156" s="28">
        <v>147.46</v>
      </c>
      <c r="O156" s="28">
        <v>60</v>
      </c>
      <c r="P156" s="65">
        <f t="shared" si="17"/>
        <v>2756.12903225806</v>
      </c>
      <c r="Q156" s="61"/>
      <c r="R156" s="38"/>
      <c r="S156" s="38"/>
      <c r="T156" s="38"/>
      <c r="U156" s="38"/>
    </row>
    <row r="157" ht="300" customHeight="1" spans="1:21">
      <c r="A157" s="11">
        <v>91</v>
      </c>
      <c r="B157" s="11" t="s">
        <v>88</v>
      </c>
      <c r="C157" s="11" t="s">
        <v>289</v>
      </c>
      <c r="D157" s="11" t="s">
        <v>812</v>
      </c>
      <c r="E157" s="13" t="s">
        <v>154</v>
      </c>
      <c r="F157" s="11" t="s">
        <v>705</v>
      </c>
      <c r="G157" s="27">
        <v>10</v>
      </c>
      <c r="H157" s="11" t="s">
        <v>291</v>
      </c>
      <c r="I157" s="11" t="s">
        <v>157</v>
      </c>
      <c r="J157" s="28">
        <v>0</v>
      </c>
      <c r="K157" s="11" t="s">
        <v>292</v>
      </c>
      <c r="L157" s="27">
        <f>5+(31-5+1)/31</f>
        <v>5.87096774193548</v>
      </c>
      <c r="M157" s="28">
        <f>L157+J157</f>
        <v>5.87096774193548</v>
      </c>
      <c r="N157" s="28">
        <v>150</v>
      </c>
      <c r="O157" s="28">
        <v>60</v>
      </c>
      <c r="P157" s="65">
        <f t="shared" si="17"/>
        <v>3522.58064516129</v>
      </c>
      <c r="Q157" s="61">
        <v>3522</v>
      </c>
      <c r="R157" s="38" t="s">
        <v>293</v>
      </c>
      <c r="S157" s="38" t="s">
        <v>294</v>
      </c>
      <c r="T157" s="38" t="s">
        <v>293</v>
      </c>
      <c r="U157" s="38" t="str">
        <f>"港澳处、律所、会所三方审核结论一致，符合给予租金补贴"&amp;Q157&amp;"元条件。"</f>
        <v>港澳处、律所、会所三方审核结论一致，符合给予租金补贴3522元条件。</v>
      </c>
    </row>
    <row r="158" ht="300" customHeight="1" spans="1:21">
      <c r="A158" s="11">
        <v>92</v>
      </c>
      <c r="B158" s="11" t="s">
        <v>89</v>
      </c>
      <c r="C158" s="11" t="s">
        <v>813</v>
      </c>
      <c r="D158" s="11" t="s">
        <v>814</v>
      </c>
      <c r="E158" s="13" t="s">
        <v>154</v>
      </c>
      <c r="F158" s="11" t="s">
        <v>815</v>
      </c>
      <c r="G158" s="27">
        <v>150</v>
      </c>
      <c r="H158" s="11" t="s">
        <v>816</v>
      </c>
      <c r="I158" s="11" t="s">
        <v>157</v>
      </c>
      <c r="J158" s="28">
        <v>0</v>
      </c>
      <c r="K158" s="27" t="s">
        <v>817</v>
      </c>
      <c r="L158" s="27">
        <f>13+(31-12+1)/31</f>
        <v>13.6451612903226</v>
      </c>
      <c r="M158" s="28">
        <f>L158+J158</f>
        <v>13.6451612903226</v>
      </c>
      <c r="N158" s="28">
        <f>20000/150</f>
        <v>133.333333333333</v>
      </c>
      <c r="O158" s="28">
        <v>60</v>
      </c>
      <c r="P158" s="65">
        <f t="shared" si="17"/>
        <v>122806.451612903</v>
      </c>
      <c r="Q158" s="61">
        <v>122806</v>
      </c>
      <c r="R158" s="38" t="s">
        <v>818</v>
      </c>
      <c r="S158" s="38" t="s">
        <v>819</v>
      </c>
      <c r="T158" s="38" t="s">
        <v>818</v>
      </c>
      <c r="U158" s="38" t="str">
        <f>"港澳处、律所、会所三方审核结论一致，符合给予租金补贴"&amp;Q158&amp;"元条件。"</f>
        <v>港澳处、律所、会所三方审核结论一致，符合给予租金补贴122806元条件。</v>
      </c>
    </row>
    <row r="159" ht="300" customHeight="1" spans="1:21">
      <c r="A159" s="11">
        <v>93</v>
      </c>
      <c r="B159" s="11" t="s">
        <v>90</v>
      </c>
      <c r="C159" s="11" t="s">
        <v>820</v>
      </c>
      <c r="D159" s="11" t="s">
        <v>821</v>
      </c>
      <c r="E159" s="13" t="s">
        <v>154</v>
      </c>
      <c r="F159" s="11" t="s">
        <v>822</v>
      </c>
      <c r="G159" s="27">
        <v>10</v>
      </c>
      <c r="H159" s="11" t="s">
        <v>823</v>
      </c>
      <c r="I159" s="11" t="s">
        <v>157</v>
      </c>
      <c r="J159" s="28">
        <v>0</v>
      </c>
      <c r="K159" s="11" t="s">
        <v>824</v>
      </c>
      <c r="L159" s="27">
        <f>15+30/31</f>
        <v>15.9677419354839</v>
      </c>
      <c r="M159" s="28">
        <f>L159+J159</f>
        <v>15.9677419354839</v>
      </c>
      <c r="N159" s="28">
        <v>150</v>
      </c>
      <c r="O159" s="28">
        <v>60</v>
      </c>
      <c r="P159" s="65">
        <f t="shared" si="17"/>
        <v>9580.64516129032</v>
      </c>
      <c r="Q159" s="61">
        <v>9580</v>
      </c>
      <c r="R159" s="38" t="s">
        <v>825</v>
      </c>
      <c r="S159" s="38" t="s">
        <v>826</v>
      </c>
      <c r="T159" s="38" t="s">
        <v>825</v>
      </c>
      <c r="U159" s="38" t="str">
        <f>"港澳处、律所、会所三方审核结论一致，符合给予租金补贴"&amp;Q159&amp;"元条件。"</f>
        <v>港澳处、律所、会所三方审核结论一致，符合给予租金补贴9580元条件。</v>
      </c>
    </row>
    <row r="160" ht="150" customHeight="1" spans="1:21">
      <c r="A160" s="11">
        <v>94</v>
      </c>
      <c r="B160" s="11" t="s">
        <v>91</v>
      </c>
      <c r="C160" s="11" t="s">
        <v>827</v>
      </c>
      <c r="D160" s="11" t="s">
        <v>828</v>
      </c>
      <c r="E160" s="17" t="s">
        <v>154</v>
      </c>
      <c r="F160" s="11" t="s">
        <v>829</v>
      </c>
      <c r="G160" s="27">
        <v>112</v>
      </c>
      <c r="H160" s="11" t="s">
        <v>830</v>
      </c>
      <c r="I160" s="11" t="s">
        <v>220</v>
      </c>
      <c r="J160" s="28">
        <v>6</v>
      </c>
      <c r="K160" s="27" t="s">
        <v>265</v>
      </c>
      <c r="L160" s="27">
        <v>4</v>
      </c>
      <c r="M160" s="28">
        <f>J160+L160+L161</f>
        <v>18</v>
      </c>
      <c r="N160" s="28">
        <f>22000/112</f>
        <v>196.428571428571</v>
      </c>
      <c r="O160" s="28">
        <v>60</v>
      </c>
      <c r="P160" s="65">
        <f t="shared" si="17"/>
        <v>26880</v>
      </c>
      <c r="Q160" s="61">
        <v>48384</v>
      </c>
      <c r="R160" s="38" t="s">
        <v>831</v>
      </c>
      <c r="S160" s="38" t="s">
        <v>832</v>
      </c>
      <c r="T160" s="38" t="s">
        <v>831</v>
      </c>
      <c r="U160" s="38" t="str">
        <f>"港澳处、律所、会所三方审核结论一致，符合给予租金补贴"&amp;Q160&amp;"元条件。"</f>
        <v>港澳处、律所、会所三方审核结论一致，符合给予租金补贴48384元条件。</v>
      </c>
    </row>
    <row r="161" ht="150" customHeight="1" spans="1:21">
      <c r="A161" s="11"/>
      <c r="B161" s="11"/>
      <c r="C161" s="11"/>
      <c r="D161" s="11"/>
      <c r="E161" s="18"/>
      <c r="F161" s="11" t="s">
        <v>833</v>
      </c>
      <c r="G161" s="27">
        <v>44.8</v>
      </c>
      <c r="H161" s="11" t="s">
        <v>834</v>
      </c>
      <c r="I161" s="11"/>
      <c r="J161" s="28"/>
      <c r="K161" s="11" t="s">
        <v>835</v>
      </c>
      <c r="L161" s="27">
        <v>8</v>
      </c>
      <c r="M161" s="28"/>
      <c r="N161" s="28">
        <f>10000/44.8</f>
        <v>223.214285714286</v>
      </c>
      <c r="O161" s="28">
        <v>60</v>
      </c>
      <c r="P161" s="65">
        <f t="shared" si="17"/>
        <v>21504</v>
      </c>
      <c r="Q161" s="61"/>
      <c r="R161" s="38"/>
      <c r="S161" s="38"/>
      <c r="T161" s="38"/>
      <c r="U161" s="38"/>
    </row>
    <row r="162" ht="300" customHeight="1" spans="1:21">
      <c r="A162" s="11">
        <v>95</v>
      </c>
      <c r="B162" s="11" t="s">
        <v>92</v>
      </c>
      <c r="C162" s="11" t="s">
        <v>255</v>
      </c>
      <c r="D162" s="11" t="s">
        <v>836</v>
      </c>
      <c r="E162" s="13" t="s">
        <v>154</v>
      </c>
      <c r="F162" s="11" t="s">
        <v>837</v>
      </c>
      <c r="G162" s="27">
        <v>204.62</v>
      </c>
      <c r="H162" s="11" t="s">
        <v>838</v>
      </c>
      <c r="I162" s="11" t="s">
        <v>220</v>
      </c>
      <c r="J162" s="28">
        <v>10</v>
      </c>
      <c r="K162" s="11" t="s">
        <v>838</v>
      </c>
      <c r="L162" s="27">
        <f>(31-18+1)/31+10</f>
        <v>10.4516129032258</v>
      </c>
      <c r="M162" s="28">
        <f>L162+J162</f>
        <v>20.4516129032258</v>
      </c>
      <c r="N162" s="28">
        <f>21662.58/204.62</f>
        <v>105.867363894048</v>
      </c>
      <c r="O162" s="28">
        <f>P162/L162/G162</f>
        <v>52.9781663179323</v>
      </c>
      <c r="P162" s="65">
        <f>(21662.85*7+21662.58*2+21663.12+9970.94)*0.5</f>
        <v>113299.585</v>
      </c>
      <c r="Q162" s="61">
        <v>113299</v>
      </c>
      <c r="R162" s="38" t="s">
        <v>839</v>
      </c>
      <c r="S162" s="38" t="s">
        <v>840</v>
      </c>
      <c r="T162" s="38" t="s">
        <v>839</v>
      </c>
      <c r="U162" s="38" t="str">
        <f>"港澳处、律所、会所三方审核结论一致，符合给予租金补贴"&amp;Q162&amp;"元条件。"</f>
        <v>港澳处、律所、会所三方审核结论一致，符合给予租金补贴113299元条件。</v>
      </c>
    </row>
    <row r="163" s="3" customFormat="1" ht="300" customHeight="1" spans="1:21">
      <c r="A163" s="11">
        <v>97</v>
      </c>
      <c r="B163" s="11" t="s">
        <v>93</v>
      </c>
      <c r="C163" s="11" t="s">
        <v>841</v>
      </c>
      <c r="D163" s="11" t="s">
        <v>842</v>
      </c>
      <c r="E163" s="11" t="s">
        <v>154</v>
      </c>
      <c r="F163" s="11" t="s">
        <v>843</v>
      </c>
      <c r="G163" s="27">
        <v>5</v>
      </c>
      <c r="H163" s="11" t="s">
        <v>844</v>
      </c>
      <c r="I163" s="11" t="s">
        <v>157</v>
      </c>
      <c r="J163" s="28">
        <v>0</v>
      </c>
      <c r="K163" s="27" t="s">
        <v>521</v>
      </c>
      <c r="L163" s="27">
        <f>(31-15+1)/31+5</f>
        <v>5.54838709677419</v>
      </c>
      <c r="M163" s="28">
        <f>L163+J163</f>
        <v>5.54838709677419</v>
      </c>
      <c r="N163" s="28">
        <f>1000/5</f>
        <v>200</v>
      </c>
      <c r="O163" s="28">
        <v>60</v>
      </c>
      <c r="P163" s="65">
        <f>G163*L163*60</f>
        <v>1664.51612903226</v>
      </c>
      <c r="Q163" s="37">
        <v>1664</v>
      </c>
      <c r="R163" s="38" t="s">
        <v>845</v>
      </c>
      <c r="S163" s="38" t="s">
        <v>846</v>
      </c>
      <c r="T163" s="38" t="s">
        <v>845</v>
      </c>
      <c r="U163" s="38" t="str">
        <f>"港澳处、律所、会所三方审核结论一致，符合给予租金补贴"&amp;Q163&amp;"元条件。"</f>
        <v>港澳处、律所、会所三方审核结论一致，符合给予租金补贴1664元条件。</v>
      </c>
    </row>
    <row r="164" ht="150" customHeight="1" spans="1:21">
      <c r="A164" s="11">
        <v>98</v>
      </c>
      <c r="B164" s="11" t="s">
        <v>94</v>
      </c>
      <c r="C164" s="11" t="s">
        <v>847</v>
      </c>
      <c r="D164" s="11" t="s">
        <v>848</v>
      </c>
      <c r="E164" s="17" t="s">
        <v>154</v>
      </c>
      <c r="F164" s="11" t="s">
        <v>849</v>
      </c>
      <c r="G164" s="27">
        <v>168.53</v>
      </c>
      <c r="H164" s="11" t="s">
        <v>643</v>
      </c>
      <c r="I164" s="11" t="s">
        <v>157</v>
      </c>
      <c r="J164" s="28">
        <v>0</v>
      </c>
      <c r="K164" s="27" t="s">
        <v>602</v>
      </c>
      <c r="L164" s="27">
        <v>6</v>
      </c>
      <c r="M164" s="28">
        <f>18</f>
        <v>18</v>
      </c>
      <c r="N164" s="28">
        <v>90.04</v>
      </c>
      <c r="O164" s="28">
        <f>N164/2</f>
        <v>45.02</v>
      </c>
      <c r="P164" s="65">
        <f>G164*90.04*L164*0.5</f>
        <v>45523.3236</v>
      </c>
      <c r="Q164" s="61">
        <v>120739</v>
      </c>
      <c r="R164" s="38" t="s">
        <v>850</v>
      </c>
      <c r="S164" s="38" t="s">
        <v>851</v>
      </c>
      <c r="T164" s="38" t="s">
        <v>850</v>
      </c>
      <c r="U164" s="38" t="str">
        <f>"港澳处、律所、会所三方审核结论一致，符合给予租金补贴"&amp;Q164&amp;"元条件。"</f>
        <v>港澳处、律所、会所三方审核结论一致，符合给予租金补贴120739元条件。</v>
      </c>
    </row>
    <row r="165" ht="150" customHeight="1" spans="1:21">
      <c r="A165" s="11"/>
      <c r="B165" s="11"/>
      <c r="C165" s="11"/>
      <c r="D165" s="11"/>
      <c r="E165" s="20"/>
      <c r="F165" s="11" t="s">
        <v>852</v>
      </c>
      <c r="G165" s="27">
        <v>74.17</v>
      </c>
      <c r="H165" s="11" t="s">
        <v>853</v>
      </c>
      <c r="I165" s="11"/>
      <c r="J165" s="28"/>
      <c r="K165" s="11" t="s">
        <v>853</v>
      </c>
      <c r="L165" s="27">
        <v>11</v>
      </c>
      <c r="M165" s="28"/>
      <c r="N165" s="28">
        <f>10400/74.17</f>
        <v>140.218417149791</v>
      </c>
      <c r="O165" s="28">
        <v>60</v>
      </c>
      <c r="P165" s="65">
        <f>G165*L165*60</f>
        <v>48952.2</v>
      </c>
      <c r="Q165" s="61"/>
      <c r="R165" s="38"/>
      <c r="S165" s="38"/>
      <c r="T165" s="38"/>
      <c r="U165" s="38"/>
    </row>
    <row r="166" ht="150" customHeight="1" spans="1:21">
      <c r="A166" s="11"/>
      <c r="B166" s="11"/>
      <c r="C166" s="11"/>
      <c r="D166" s="11"/>
      <c r="E166" s="20"/>
      <c r="F166" s="11" t="s">
        <v>854</v>
      </c>
      <c r="G166" s="27">
        <v>39.55</v>
      </c>
      <c r="H166" s="11" t="s">
        <v>855</v>
      </c>
      <c r="I166" s="11"/>
      <c r="J166" s="28"/>
      <c r="K166" s="11" t="s">
        <v>855</v>
      </c>
      <c r="L166" s="27">
        <f>(28-3+1)/28+10</f>
        <v>10.9285714285714</v>
      </c>
      <c r="M166" s="28"/>
      <c r="N166" s="28">
        <f>5500/39.55</f>
        <v>139.064475347661</v>
      </c>
      <c r="O166" s="28">
        <v>60</v>
      </c>
      <c r="P166" s="65">
        <f>G166*L166*60</f>
        <v>25933.5</v>
      </c>
      <c r="Q166" s="61"/>
      <c r="R166" s="38"/>
      <c r="S166" s="38"/>
      <c r="T166" s="38"/>
      <c r="U166" s="38"/>
    </row>
    <row r="167" ht="150" customHeight="1" spans="1:21">
      <c r="A167" s="11"/>
      <c r="B167" s="11"/>
      <c r="C167" s="11"/>
      <c r="D167" s="11"/>
      <c r="E167" s="18"/>
      <c r="F167" s="11" t="s">
        <v>856</v>
      </c>
      <c r="G167" s="27">
        <v>156.25</v>
      </c>
      <c r="H167" s="11" t="s">
        <v>857</v>
      </c>
      <c r="I167" s="11"/>
      <c r="J167" s="28"/>
      <c r="K167" s="27" t="s">
        <v>858</v>
      </c>
      <c r="L167" s="27">
        <v>1</v>
      </c>
      <c r="M167" s="28"/>
      <c r="N167" s="28">
        <v>4.22</v>
      </c>
      <c r="O167" s="28">
        <f>4620/7/156.25/2</f>
        <v>2.112</v>
      </c>
      <c r="P167" s="65">
        <f>4620/7*0.5</f>
        <v>330</v>
      </c>
      <c r="Q167" s="61"/>
      <c r="R167" s="38"/>
      <c r="S167" s="38"/>
      <c r="T167" s="38"/>
      <c r="U167" s="38"/>
    </row>
    <row r="168" ht="300" customHeight="1" spans="1:21">
      <c r="A168" s="11">
        <v>99</v>
      </c>
      <c r="B168" s="11" t="s">
        <v>95</v>
      </c>
      <c r="C168" s="11" t="s">
        <v>859</v>
      </c>
      <c r="D168" s="11" t="s">
        <v>860</v>
      </c>
      <c r="E168" s="13" t="s">
        <v>154</v>
      </c>
      <c r="F168" s="11" t="s">
        <v>861</v>
      </c>
      <c r="G168" s="27">
        <v>16</v>
      </c>
      <c r="H168" s="11" t="s">
        <v>424</v>
      </c>
      <c r="I168" s="11" t="s">
        <v>157</v>
      </c>
      <c r="J168" s="28">
        <v>0</v>
      </c>
      <c r="K168" s="11" t="s">
        <v>425</v>
      </c>
      <c r="L168" s="27">
        <v>11</v>
      </c>
      <c r="M168" s="28">
        <f>J168+L168</f>
        <v>11</v>
      </c>
      <c r="N168" s="28">
        <f>3000/16</f>
        <v>187.5</v>
      </c>
      <c r="O168" s="28">
        <v>60</v>
      </c>
      <c r="P168" s="65">
        <f t="shared" ref="P168:P179" si="19">G168*L168*60</f>
        <v>10560</v>
      </c>
      <c r="Q168" s="61">
        <v>10560</v>
      </c>
      <c r="R168" s="38" t="s">
        <v>862</v>
      </c>
      <c r="S168" s="38" t="s">
        <v>863</v>
      </c>
      <c r="T168" s="38" t="s">
        <v>862</v>
      </c>
      <c r="U168" s="38" t="str">
        <f t="shared" ref="U168:U173" si="20">"港澳处、律所、会所三方审核结论一致，符合给予租金补贴"&amp;Q168&amp;"元条件。"</f>
        <v>港澳处、律所、会所三方审核结论一致，符合给予租金补贴10560元条件。</v>
      </c>
    </row>
    <row r="169" ht="150" customHeight="1" spans="1:21">
      <c r="A169" s="11">
        <v>100</v>
      </c>
      <c r="B169" s="11" t="s">
        <v>96</v>
      </c>
      <c r="C169" s="11" t="s">
        <v>503</v>
      </c>
      <c r="D169" s="11" t="s">
        <v>864</v>
      </c>
      <c r="E169" s="17" t="s">
        <v>154</v>
      </c>
      <c r="F169" s="11" t="s">
        <v>865</v>
      </c>
      <c r="G169" s="27">
        <v>20</v>
      </c>
      <c r="H169" s="11" t="s">
        <v>866</v>
      </c>
      <c r="I169" s="11" t="s">
        <v>157</v>
      </c>
      <c r="J169" s="28">
        <v>0</v>
      </c>
      <c r="K169" s="27" t="s">
        <v>867</v>
      </c>
      <c r="L169" s="27">
        <v>4</v>
      </c>
      <c r="M169" s="28">
        <f>L169+L172+J169</f>
        <v>10.4838709677419</v>
      </c>
      <c r="N169" s="28">
        <f>(3120+5760)/4/20</f>
        <v>111</v>
      </c>
      <c r="O169" s="28">
        <f>N169*0.5</f>
        <v>55.5</v>
      </c>
      <c r="P169" s="65">
        <f>(3120+5760)*0.5</f>
        <v>4440</v>
      </c>
      <c r="Q169" s="61">
        <v>22730</v>
      </c>
      <c r="R169" s="38" t="s">
        <v>868</v>
      </c>
      <c r="S169" s="38" t="s">
        <v>869</v>
      </c>
      <c r="T169" s="38" t="s">
        <v>868</v>
      </c>
      <c r="U169" s="38" t="str">
        <f t="shared" si="20"/>
        <v>港澳处、律所、会所三方审核结论一致，符合给予租金补贴22730元条件。</v>
      </c>
    </row>
    <row r="170" ht="150" customHeight="1" spans="1:21">
      <c r="A170" s="11"/>
      <c r="B170" s="11"/>
      <c r="C170" s="11"/>
      <c r="D170" s="11"/>
      <c r="E170" s="20"/>
      <c r="F170" s="11" t="s">
        <v>865</v>
      </c>
      <c r="G170" s="27">
        <v>20</v>
      </c>
      <c r="H170" s="11" t="s">
        <v>866</v>
      </c>
      <c r="I170" s="11"/>
      <c r="J170" s="28"/>
      <c r="K170" s="27" t="s">
        <v>870</v>
      </c>
      <c r="L170" s="27">
        <v>2</v>
      </c>
      <c r="M170" s="28"/>
      <c r="N170" s="28">
        <f>150</f>
        <v>150</v>
      </c>
      <c r="O170" s="28">
        <v>60</v>
      </c>
      <c r="P170" s="65">
        <f>G169*2*60</f>
        <v>2400</v>
      </c>
      <c r="Q170" s="61"/>
      <c r="R170" s="38"/>
      <c r="S170" s="38"/>
      <c r="T170" s="38"/>
      <c r="U170" s="38"/>
    </row>
    <row r="171" ht="150" customHeight="1" spans="1:21">
      <c r="A171" s="11"/>
      <c r="B171" s="11"/>
      <c r="C171" s="11"/>
      <c r="D171" s="11"/>
      <c r="E171" s="20"/>
      <c r="F171" s="11" t="s">
        <v>865</v>
      </c>
      <c r="G171" s="27">
        <v>20</v>
      </c>
      <c r="H171" s="11" t="s">
        <v>866</v>
      </c>
      <c r="I171" s="11"/>
      <c r="J171" s="28"/>
      <c r="K171" s="27" t="s">
        <v>871</v>
      </c>
      <c r="L171" s="27">
        <v>10</v>
      </c>
      <c r="M171" s="28"/>
      <c r="N171" s="28">
        <f>150</f>
        <v>150</v>
      </c>
      <c r="O171" s="28">
        <v>60</v>
      </c>
      <c r="P171" s="65">
        <f>G170*10*60</f>
        <v>12000</v>
      </c>
      <c r="Q171" s="61"/>
      <c r="R171" s="38"/>
      <c r="S171" s="38"/>
      <c r="T171" s="38"/>
      <c r="U171" s="38"/>
    </row>
    <row r="172" ht="150" customHeight="1" spans="1:21">
      <c r="A172" s="11"/>
      <c r="B172" s="11"/>
      <c r="C172" s="11"/>
      <c r="D172" s="11"/>
      <c r="E172" s="18"/>
      <c r="F172" s="11" t="s">
        <v>872</v>
      </c>
      <c r="G172" s="27">
        <v>10</v>
      </c>
      <c r="H172" s="11" t="s">
        <v>257</v>
      </c>
      <c r="I172" s="11"/>
      <c r="J172" s="28"/>
      <c r="K172" s="11" t="s">
        <v>206</v>
      </c>
      <c r="L172" s="27">
        <f>(31-17+1)/31+6</f>
        <v>6.48387096774194</v>
      </c>
      <c r="M172" s="28"/>
      <c r="N172" s="28">
        <v>150</v>
      </c>
      <c r="O172" s="28">
        <v>60</v>
      </c>
      <c r="P172" s="65">
        <f t="shared" si="19"/>
        <v>3890.32258064516</v>
      </c>
      <c r="Q172" s="61"/>
      <c r="R172" s="38"/>
      <c r="S172" s="38"/>
      <c r="T172" s="38"/>
      <c r="U172" s="38"/>
    </row>
    <row r="173" ht="150" customHeight="1" spans="1:21">
      <c r="A173" s="11">
        <v>101</v>
      </c>
      <c r="B173" s="11" t="s">
        <v>97</v>
      </c>
      <c r="C173" s="11" t="s">
        <v>873</v>
      </c>
      <c r="D173" s="11" t="s">
        <v>874</v>
      </c>
      <c r="E173" s="17" t="s">
        <v>154</v>
      </c>
      <c r="F173" s="11" t="s">
        <v>875</v>
      </c>
      <c r="G173" s="26">
        <v>10</v>
      </c>
      <c r="H173" s="11" t="s">
        <v>876</v>
      </c>
      <c r="I173" s="26" t="s">
        <v>157</v>
      </c>
      <c r="J173" s="28">
        <v>0</v>
      </c>
      <c r="K173" s="11" t="s">
        <v>876</v>
      </c>
      <c r="L173" s="26">
        <v>2</v>
      </c>
      <c r="M173" s="28">
        <f>J173+L173+L174</f>
        <v>5</v>
      </c>
      <c r="N173" s="28">
        <v>130</v>
      </c>
      <c r="O173" s="28">
        <v>60</v>
      </c>
      <c r="P173" s="64">
        <f t="shared" si="19"/>
        <v>1200</v>
      </c>
      <c r="Q173" s="61">
        <v>6762</v>
      </c>
      <c r="R173" s="38" t="s">
        <v>877</v>
      </c>
      <c r="S173" s="38" t="s">
        <v>878</v>
      </c>
      <c r="T173" s="38" t="s">
        <v>877</v>
      </c>
      <c r="U173" s="38" t="str">
        <f t="shared" si="20"/>
        <v>港澳处、律所、会所三方审核结论一致，符合给予租金补贴6762元条件。</v>
      </c>
    </row>
    <row r="174" ht="150" customHeight="1" spans="1:21">
      <c r="A174" s="11"/>
      <c r="B174" s="11"/>
      <c r="C174" s="11"/>
      <c r="D174" s="11"/>
      <c r="E174" s="18"/>
      <c r="F174" s="11" t="s">
        <v>875</v>
      </c>
      <c r="G174" s="26">
        <v>30.9</v>
      </c>
      <c r="H174" s="11" t="s">
        <v>879</v>
      </c>
      <c r="I174" s="26"/>
      <c r="J174" s="28"/>
      <c r="K174" s="11" t="s">
        <v>273</v>
      </c>
      <c r="L174" s="26">
        <v>3</v>
      </c>
      <c r="M174" s="28"/>
      <c r="N174" s="28">
        <v>147.46</v>
      </c>
      <c r="O174" s="28">
        <v>60</v>
      </c>
      <c r="P174" s="64">
        <f t="shared" si="19"/>
        <v>5562</v>
      </c>
      <c r="Q174" s="61"/>
      <c r="R174" s="38"/>
      <c r="S174" s="38"/>
      <c r="T174" s="38"/>
      <c r="U174" s="38"/>
    </row>
    <row r="175" ht="300" customHeight="1" spans="1:21">
      <c r="A175" s="11">
        <v>102</v>
      </c>
      <c r="B175" s="11" t="s">
        <v>98</v>
      </c>
      <c r="C175" s="11" t="s">
        <v>880</v>
      </c>
      <c r="D175" s="11" t="s">
        <v>881</v>
      </c>
      <c r="E175" s="13" t="s">
        <v>154</v>
      </c>
      <c r="F175" s="11" t="s">
        <v>882</v>
      </c>
      <c r="G175" s="26">
        <v>10</v>
      </c>
      <c r="H175" s="11" t="s">
        <v>782</v>
      </c>
      <c r="I175" s="26" t="s">
        <v>157</v>
      </c>
      <c r="J175" s="28">
        <v>0</v>
      </c>
      <c r="K175" s="11" t="s">
        <v>314</v>
      </c>
      <c r="L175" s="26">
        <v>5</v>
      </c>
      <c r="M175" s="28">
        <f>L175+J175</f>
        <v>5</v>
      </c>
      <c r="N175" s="28">
        <v>130</v>
      </c>
      <c r="O175" s="28">
        <v>60</v>
      </c>
      <c r="P175" s="64">
        <f t="shared" si="19"/>
        <v>3000</v>
      </c>
      <c r="Q175" s="61">
        <v>3000</v>
      </c>
      <c r="R175" s="38" t="s">
        <v>883</v>
      </c>
      <c r="S175" s="38" t="s">
        <v>884</v>
      </c>
      <c r="T175" s="38" t="s">
        <v>883</v>
      </c>
      <c r="U175" s="38" t="str">
        <f t="shared" ref="U175:U179" si="21">"港澳处、律所、会所三方审核结论一致，符合给予租金补贴"&amp;Q175&amp;"元条件。"</f>
        <v>港澳处、律所、会所三方审核结论一致，符合给予租金补贴3000元条件。</v>
      </c>
    </row>
    <row r="176" ht="150" customHeight="1" spans="1:21">
      <c r="A176" s="11">
        <v>103</v>
      </c>
      <c r="B176" s="11" t="s">
        <v>99</v>
      </c>
      <c r="C176" s="11" t="s">
        <v>885</v>
      </c>
      <c r="D176" s="11" t="s">
        <v>886</v>
      </c>
      <c r="E176" s="17" t="s">
        <v>154</v>
      </c>
      <c r="F176" s="11" t="s">
        <v>887</v>
      </c>
      <c r="G176" s="26">
        <v>59</v>
      </c>
      <c r="H176" s="11" t="s">
        <v>888</v>
      </c>
      <c r="I176" s="26" t="s">
        <v>157</v>
      </c>
      <c r="J176" s="28">
        <v>0</v>
      </c>
      <c r="K176" s="11" t="s">
        <v>565</v>
      </c>
      <c r="L176" s="26">
        <f>22/31+8</f>
        <v>8.70967741935484</v>
      </c>
      <c r="M176" s="28">
        <f>L176</f>
        <v>8.70967741935484</v>
      </c>
      <c r="N176" s="28">
        <v>153.38</v>
      </c>
      <c r="O176" s="28">
        <v>60</v>
      </c>
      <c r="P176" s="64">
        <f t="shared" si="19"/>
        <v>30832.2580645161</v>
      </c>
      <c r="Q176" s="61">
        <v>300000</v>
      </c>
      <c r="R176" s="38" t="s">
        <v>476</v>
      </c>
      <c r="S176" s="38" t="s">
        <v>477</v>
      </c>
      <c r="T176" s="38" t="s">
        <v>476</v>
      </c>
      <c r="U176" s="38" t="str">
        <f t="shared" si="21"/>
        <v>港澳处、律所、会所三方审核结论一致，符合给予租金补贴300000元条件。</v>
      </c>
    </row>
    <row r="177" ht="150" customHeight="1" spans="1:21">
      <c r="A177" s="11"/>
      <c r="B177" s="11"/>
      <c r="C177" s="11"/>
      <c r="D177" s="11"/>
      <c r="E177" s="18"/>
      <c r="F177" s="11" t="s">
        <v>889</v>
      </c>
      <c r="G177" s="26">
        <v>757.6</v>
      </c>
      <c r="H177" s="11" t="s">
        <v>257</v>
      </c>
      <c r="I177" s="26"/>
      <c r="J177" s="28"/>
      <c r="K177" s="26" t="s">
        <v>206</v>
      </c>
      <c r="L177" s="26">
        <f>15/31+6</f>
        <v>6.48387096774194</v>
      </c>
      <c r="M177" s="28"/>
      <c r="N177" s="28">
        <v>158.38</v>
      </c>
      <c r="O177" s="28">
        <v>60</v>
      </c>
      <c r="P177" s="64">
        <f t="shared" si="19"/>
        <v>294730.838709677</v>
      </c>
      <c r="Q177" s="61"/>
      <c r="R177" s="38"/>
      <c r="S177" s="38"/>
      <c r="T177" s="38"/>
      <c r="U177" s="38"/>
    </row>
    <row r="178" ht="300" customHeight="1" spans="1:21">
      <c r="A178" s="11">
        <v>104</v>
      </c>
      <c r="B178" s="11" t="s">
        <v>100</v>
      </c>
      <c r="C178" s="11" t="s">
        <v>890</v>
      </c>
      <c r="D178" s="11" t="s">
        <v>891</v>
      </c>
      <c r="E178" s="13" t="s">
        <v>154</v>
      </c>
      <c r="F178" s="11" t="s">
        <v>892</v>
      </c>
      <c r="G178" s="26">
        <v>10</v>
      </c>
      <c r="H178" s="11" t="s">
        <v>613</v>
      </c>
      <c r="I178" s="26" t="s">
        <v>157</v>
      </c>
      <c r="J178" s="28">
        <v>0</v>
      </c>
      <c r="K178" s="26" t="s">
        <v>602</v>
      </c>
      <c r="L178" s="26">
        <v>6</v>
      </c>
      <c r="M178" s="28">
        <f>L178</f>
        <v>6</v>
      </c>
      <c r="N178" s="28">
        <v>150</v>
      </c>
      <c r="O178" s="28">
        <v>60</v>
      </c>
      <c r="P178" s="64">
        <f t="shared" si="19"/>
        <v>3600</v>
      </c>
      <c r="Q178" s="61">
        <v>3600</v>
      </c>
      <c r="R178" s="38" t="s">
        <v>759</v>
      </c>
      <c r="S178" s="38" t="s">
        <v>760</v>
      </c>
      <c r="T178" s="38" t="s">
        <v>759</v>
      </c>
      <c r="U178" s="38" t="str">
        <f t="shared" si="21"/>
        <v>港澳处、律所、会所三方审核结论一致，符合给予租金补贴3600元条件。</v>
      </c>
    </row>
    <row r="179" ht="150" customHeight="1" spans="1:21">
      <c r="A179" s="11">
        <v>105</v>
      </c>
      <c r="B179" s="11" t="s">
        <v>101</v>
      </c>
      <c r="C179" s="40" t="s">
        <v>820</v>
      </c>
      <c r="D179" s="11" t="s">
        <v>893</v>
      </c>
      <c r="E179" s="17" t="s">
        <v>154</v>
      </c>
      <c r="F179" s="11" t="s">
        <v>894</v>
      </c>
      <c r="G179" s="26">
        <v>10</v>
      </c>
      <c r="H179" s="11" t="s">
        <v>834</v>
      </c>
      <c r="I179" s="27" t="s">
        <v>220</v>
      </c>
      <c r="J179" s="28">
        <f>8+12/31</f>
        <v>8.38709677419355</v>
      </c>
      <c r="K179" s="26" t="s">
        <v>835</v>
      </c>
      <c r="L179" s="26">
        <v>8</v>
      </c>
      <c r="M179" s="28">
        <f>L181+L179+J179+L180</f>
        <v>20</v>
      </c>
      <c r="N179" s="28">
        <v>150</v>
      </c>
      <c r="O179" s="28">
        <v>60</v>
      </c>
      <c r="P179" s="64">
        <f t="shared" si="19"/>
        <v>4800</v>
      </c>
      <c r="Q179" s="61">
        <v>28049</v>
      </c>
      <c r="R179" s="38" t="s">
        <v>895</v>
      </c>
      <c r="S179" s="38" t="s">
        <v>896</v>
      </c>
      <c r="T179" s="38" t="s">
        <v>895</v>
      </c>
      <c r="U179" s="38" t="str">
        <f t="shared" si="21"/>
        <v>港澳处、律所、会所三方审核结论一致，符合给予租金补贴28049元条件。</v>
      </c>
    </row>
    <row r="180" ht="150" customHeight="1" spans="1:21">
      <c r="A180" s="11"/>
      <c r="B180" s="11"/>
      <c r="C180" s="41"/>
      <c r="D180" s="11"/>
      <c r="E180" s="20"/>
      <c r="F180" s="11" t="s">
        <v>894</v>
      </c>
      <c r="G180" s="26">
        <v>108</v>
      </c>
      <c r="H180" s="11" t="s">
        <v>897</v>
      </c>
      <c r="I180" s="27"/>
      <c r="J180" s="28"/>
      <c r="K180" s="26" t="s">
        <v>898</v>
      </c>
      <c r="L180" s="26">
        <v>2</v>
      </c>
      <c r="M180" s="28"/>
      <c r="N180" s="28">
        <f>(86976.7+2609.3)/7/G180</f>
        <v>118.5</v>
      </c>
      <c r="O180" s="28">
        <f t="shared" ref="O180:O183" si="22">N180*0.5</f>
        <v>59.25</v>
      </c>
      <c r="P180" s="64">
        <f>(86976.7+2609.3)/7*2*0.5</f>
        <v>12798</v>
      </c>
      <c r="Q180" s="61"/>
      <c r="R180" s="38"/>
      <c r="S180" s="38"/>
      <c r="T180" s="38"/>
      <c r="U180" s="38"/>
    </row>
    <row r="181" ht="150" customHeight="1" spans="1:21">
      <c r="A181" s="11"/>
      <c r="B181" s="11"/>
      <c r="C181" s="42"/>
      <c r="D181" s="11"/>
      <c r="E181" s="18"/>
      <c r="F181" s="11" t="s">
        <v>894</v>
      </c>
      <c r="G181" s="26">
        <v>108</v>
      </c>
      <c r="H181" s="11" t="s">
        <v>897</v>
      </c>
      <c r="I181" s="27"/>
      <c r="J181" s="28"/>
      <c r="K181" s="26" t="s">
        <v>899</v>
      </c>
      <c r="L181" s="26">
        <f>19/31+1</f>
        <v>1.61290322580645</v>
      </c>
      <c r="M181" s="28"/>
      <c r="N181" s="28">
        <v>143.38</v>
      </c>
      <c r="O181" s="28">
        <v>60</v>
      </c>
      <c r="P181" s="64">
        <f>G181*(19/31+1)*60</f>
        <v>10451.6129032258</v>
      </c>
      <c r="Q181" s="61"/>
      <c r="R181" s="38"/>
      <c r="S181" s="38"/>
      <c r="T181" s="38"/>
      <c r="U181" s="38"/>
    </row>
    <row r="182" ht="150" customHeight="1" spans="1:21">
      <c r="A182" s="11">
        <v>106</v>
      </c>
      <c r="B182" s="11" t="s">
        <v>102</v>
      </c>
      <c r="C182" s="11" t="s">
        <v>900</v>
      </c>
      <c r="D182" s="11" t="s">
        <v>901</v>
      </c>
      <c r="E182" s="17" t="s">
        <v>154</v>
      </c>
      <c r="F182" s="11" t="s">
        <v>902</v>
      </c>
      <c r="G182" s="26">
        <v>95.62</v>
      </c>
      <c r="H182" s="11" t="s">
        <v>903</v>
      </c>
      <c r="I182" s="27" t="s">
        <v>220</v>
      </c>
      <c r="J182" s="28">
        <v>12</v>
      </c>
      <c r="K182" s="26" t="s">
        <v>904</v>
      </c>
      <c r="L182" s="26">
        <v>1</v>
      </c>
      <c r="M182" s="28">
        <f>L182+L183+J182</f>
        <v>24</v>
      </c>
      <c r="N182" s="28">
        <f>(4349.15+217.46+4009.96+200.5)/G182/L182</f>
        <v>91.791152478561</v>
      </c>
      <c r="O182" s="28">
        <f t="shared" si="22"/>
        <v>45.8955762392805</v>
      </c>
      <c r="P182" s="64">
        <f>(4349.15+217.46+4009.96+200.5)*0.5</f>
        <v>4388.535</v>
      </c>
      <c r="Q182" s="61">
        <v>27546</v>
      </c>
      <c r="R182" s="38" t="s">
        <v>905</v>
      </c>
      <c r="S182" s="38" t="s">
        <v>906</v>
      </c>
      <c r="T182" s="38" t="s">
        <v>905</v>
      </c>
      <c r="U182" s="38" t="str">
        <f>"港澳处、律所、会所三方审核结论一致，符合给予租金补贴"&amp;Q182&amp;"元条件。"</f>
        <v>港澳处、律所、会所三方审核结论一致，符合给予租金补贴27546元条件。</v>
      </c>
    </row>
    <row r="183" ht="150" customHeight="1" spans="1:21">
      <c r="A183" s="11"/>
      <c r="B183" s="11"/>
      <c r="C183" s="11"/>
      <c r="D183" s="11"/>
      <c r="E183" s="18"/>
      <c r="F183" s="11" t="s">
        <v>907</v>
      </c>
      <c r="G183" s="26">
        <v>45.87</v>
      </c>
      <c r="H183" s="11" t="s">
        <v>908</v>
      </c>
      <c r="I183" s="27"/>
      <c r="J183" s="28"/>
      <c r="K183" s="26" t="s">
        <v>425</v>
      </c>
      <c r="L183" s="26">
        <v>11</v>
      </c>
      <c r="M183" s="28"/>
      <c r="N183" s="28">
        <f>4210.45/G183</f>
        <v>91.7909308916503</v>
      </c>
      <c r="O183" s="28">
        <f t="shared" si="22"/>
        <v>45.8954654458252</v>
      </c>
      <c r="P183" s="64">
        <f>4210.45*11*0.5</f>
        <v>23157.475</v>
      </c>
      <c r="Q183" s="61"/>
      <c r="R183" s="38"/>
      <c r="S183" s="38"/>
      <c r="T183" s="38"/>
      <c r="U183" s="38"/>
    </row>
    <row r="184" ht="150" customHeight="1" spans="1:21">
      <c r="A184" s="11">
        <v>107</v>
      </c>
      <c r="B184" s="11" t="s">
        <v>103</v>
      </c>
      <c r="C184" s="11" t="s">
        <v>909</v>
      </c>
      <c r="D184" s="11" t="s">
        <v>910</v>
      </c>
      <c r="E184" s="17" t="s">
        <v>154</v>
      </c>
      <c r="F184" s="11" t="s">
        <v>911</v>
      </c>
      <c r="G184" s="26">
        <v>30</v>
      </c>
      <c r="H184" s="11" t="s">
        <v>912</v>
      </c>
      <c r="I184" s="26" t="s">
        <v>157</v>
      </c>
      <c r="J184" s="28">
        <v>0</v>
      </c>
      <c r="K184" s="11" t="s">
        <v>912</v>
      </c>
      <c r="L184" s="26">
        <f>4+(31-8+1)/31+1/31</f>
        <v>4.80645161290323</v>
      </c>
      <c r="M184" s="28">
        <f>L184+L185</f>
        <v>10.7741935483871</v>
      </c>
      <c r="N184" s="28">
        <v>150</v>
      </c>
      <c r="O184" s="28">
        <v>60</v>
      </c>
      <c r="P184" s="64">
        <f t="shared" ref="P184:P186" si="23">G184*L184*60</f>
        <v>8651.61290322581</v>
      </c>
      <c r="Q184" s="61">
        <v>25122</v>
      </c>
      <c r="R184" s="38" t="s">
        <v>913</v>
      </c>
      <c r="S184" s="38" t="s">
        <v>914</v>
      </c>
      <c r="T184" s="38" t="s">
        <v>913</v>
      </c>
      <c r="U184" s="38" t="str">
        <f>"港澳处、律所、会所三方审核结论一致，符合给予租金补贴"&amp;Q184&amp;"元条件。"</f>
        <v>港澳处、律所、会所三方审核结论一致，符合给予租金补贴25122元条件。</v>
      </c>
    </row>
    <row r="185" ht="150" customHeight="1" spans="1:21">
      <c r="A185" s="11"/>
      <c r="B185" s="11"/>
      <c r="C185" s="11"/>
      <c r="D185" s="11"/>
      <c r="E185" s="18"/>
      <c r="F185" s="11" t="s">
        <v>911</v>
      </c>
      <c r="G185" s="26">
        <v>46</v>
      </c>
      <c r="H185" s="11" t="s">
        <v>915</v>
      </c>
      <c r="I185" s="26"/>
      <c r="J185" s="28">
        <v>0</v>
      </c>
      <c r="K185" s="11" t="s">
        <v>916</v>
      </c>
      <c r="L185" s="26">
        <f>30/31+5</f>
        <v>5.96774193548387</v>
      </c>
      <c r="M185" s="28"/>
      <c r="N185" s="28">
        <v>152.17</v>
      </c>
      <c r="O185" s="28">
        <v>60</v>
      </c>
      <c r="P185" s="64">
        <f t="shared" si="23"/>
        <v>16470.9677419355</v>
      </c>
      <c r="Q185" s="61"/>
      <c r="R185" s="38"/>
      <c r="S185" s="38"/>
      <c r="T185" s="38"/>
      <c r="U185" s="38"/>
    </row>
    <row r="186" ht="300" customHeight="1" spans="1:21">
      <c r="A186" s="11">
        <v>108</v>
      </c>
      <c r="B186" s="11" t="s">
        <v>104</v>
      </c>
      <c r="C186" s="11" t="s">
        <v>917</v>
      </c>
      <c r="D186" s="11" t="s">
        <v>918</v>
      </c>
      <c r="E186" s="13" t="s">
        <v>154</v>
      </c>
      <c r="F186" s="11" t="s">
        <v>919</v>
      </c>
      <c r="G186" s="26">
        <v>10</v>
      </c>
      <c r="H186" s="11" t="s">
        <v>834</v>
      </c>
      <c r="I186" s="26" t="s">
        <v>157</v>
      </c>
      <c r="J186" s="28">
        <v>0</v>
      </c>
      <c r="K186" s="26" t="s">
        <v>835</v>
      </c>
      <c r="L186" s="26">
        <v>8</v>
      </c>
      <c r="M186" s="28">
        <f>L186+J186</f>
        <v>8</v>
      </c>
      <c r="N186" s="28">
        <v>130</v>
      </c>
      <c r="O186" s="28">
        <v>60</v>
      </c>
      <c r="P186" s="64">
        <f t="shared" si="23"/>
        <v>4800</v>
      </c>
      <c r="Q186" s="61">
        <v>4800</v>
      </c>
      <c r="R186" s="38" t="s">
        <v>412</v>
      </c>
      <c r="S186" s="38" t="s">
        <v>413</v>
      </c>
      <c r="T186" s="38" t="s">
        <v>412</v>
      </c>
      <c r="U186" s="38" t="str">
        <f>"港澳处、律所、会所三方审核结论一致，符合给予租金补贴"&amp;Q186&amp;"元条件。"</f>
        <v>港澳处、律所、会所三方审核结论一致，符合给予租金补贴4800元条件。</v>
      </c>
    </row>
    <row r="187" s="4" customFormat="1" ht="97" customHeight="1" spans="1:21">
      <c r="A187" s="42"/>
      <c r="B187" s="42"/>
      <c r="C187" s="42"/>
      <c r="D187" s="42"/>
      <c r="E187" s="42"/>
      <c r="F187" s="42"/>
      <c r="G187" s="48"/>
      <c r="H187" s="11" t="s">
        <v>1107</v>
      </c>
      <c r="I187" s="48"/>
      <c r="J187" s="30"/>
      <c r="K187" s="26" t="s">
        <v>716</v>
      </c>
      <c r="L187" s="26">
        <v>9</v>
      </c>
      <c r="M187" s="30"/>
      <c r="N187" s="28" t="e">
        <f>12722.4/#REF!</f>
        <v>#REF!</v>
      </c>
      <c r="O187" s="28">
        <v>60</v>
      </c>
      <c r="P187" s="26" t="e">
        <f>#REF!*60*L187</f>
        <v>#REF!</v>
      </c>
      <c r="Q187" s="52"/>
      <c r="R187" s="53"/>
      <c r="S187" s="53"/>
      <c r="T187" s="53"/>
      <c r="U187" s="42"/>
    </row>
    <row r="188" ht="300" customHeight="1" spans="1:21">
      <c r="A188" s="11">
        <v>110</v>
      </c>
      <c r="B188" s="11" t="s">
        <v>105</v>
      </c>
      <c r="C188" s="11" t="s">
        <v>920</v>
      </c>
      <c r="D188" s="11" t="s">
        <v>921</v>
      </c>
      <c r="E188" s="13" t="s">
        <v>154</v>
      </c>
      <c r="F188" s="11" t="s">
        <v>922</v>
      </c>
      <c r="G188" s="26">
        <v>76.19</v>
      </c>
      <c r="H188" s="11" t="s">
        <v>923</v>
      </c>
      <c r="I188" s="27" t="s">
        <v>220</v>
      </c>
      <c r="J188" s="28">
        <v>10</v>
      </c>
      <c r="K188" s="26" t="s">
        <v>924</v>
      </c>
      <c r="L188" s="26">
        <v>2</v>
      </c>
      <c r="M188" s="28">
        <f>J188+L188</f>
        <v>12</v>
      </c>
      <c r="N188" s="28">
        <f>6789.56/G188</f>
        <v>89.1135319595748</v>
      </c>
      <c r="O188" s="28">
        <f t="shared" ref="O188:O193" si="24">N188*0.5</f>
        <v>44.5567659797874</v>
      </c>
      <c r="P188" s="64">
        <f>6789.56*2*0.5</f>
        <v>6789.56</v>
      </c>
      <c r="Q188" s="61">
        <v>6789</v>
      </c>
      <c r="R188" s="38" t="s">
        <v>925</v>
      </c>
      <c r="S188" s="38" t="s">
        <v>926</v>
      </c>
      <c r="T188" s="38" t="s">
        <v>925</v>
      </c>
      <c r="U188" s="38" t="str">
        <f t="shared" ref="U188:U192" si="25">"港澳处、律所、会所三方审核结论一致，符合给予租金补贴"&amp;Q188&amp;"元条件。"</f>
        <v>港澳处、律所、会所三方审核结论一致，符合给予租金补贴6789元条件。</v>
      </c>
    </row>
    <row r="189" ht="300" customHeight="1" spans="1:21">
      <c r="A189" s="11">
        <v>111</v>
      </c>
      <c r="B189" s="11" t="s">
        <v>106</v>
      </c>
      <c r="C189" s="11" t="s">
        <v>927</v>
      </c>
      <c r="D189" s="11" t="s">
        <v>928</v>
      </c>
      <c r="E189" s="13" t="s">
        <v>154</v>
      </c>
      <c r="F189" s="11" t="s">
        <v>929</v>
      </c>
      <c r="G189" s="26">
        <v>530</v>
      </c>
      <c r="H189" s="11" t="s">
        <v>306</v>
      </c>
      <c r="I189" s="27" t="s">
        <v>157</v>
      </c>
      <c r="J189" s="28">
        <v>0</v>
      </c>
      <c r="K189" s="26" t="s">
        <v>930</v>
      </c>
      <c r="L189" s="26">
        <f>4+(29-18+1)/29</f>
        <v>4.41379310344828</v>
      </c>
      <c r="M189" s="28">
        <f>L189+J189</f>
        <v>4.41379310344828</v>
      </c>
      <c r="N189" s="28">
        <v>160</v>
      </c>
      <c r="O189" s="28">
        <v>60</v>
      </c>
      <c r="P189" s="64">
        <f t="shared" ref="P189:P191" si="26">G189*L189*60</f>
        <v>140358.620689655</v>
      </c>
      <c r="Q189" s="61">
        <v>140358</v>
      </c>
      <c r="R189" s="38" t="s">
        <v>931</v>
      </c>
      <c r="S189" s="38" t="s">
        <v>932</v>
      </c>
      <c r="T189" s="38" t="s">
        <v>931</v>
      </c>
      <c r="U189" s="38" t="str">
        <f t="shared" si="25"/>
        <v>港澳处、律所、会所三方审核结论一致，符合给予租金补贴140358元条件。</v>
      </c>
    </row>
    <row r="190" ht="300" customHeight="1" spans="1:21">
      <c r="A190" s="11">
        <v>112</v>
      </c>
      <c r="B190" s="11" t="s">
        <v>107</v>
      </c>
      <c r="C190" s="11" t="s">
        <v>933</v>
      </c>
      <c r="D190" s="11" t="s">
        <v>934</v>
      </c>
      <c r="E190" s="13" t="s">
        <v>154</v>
      </c>
      <c r="F190" s="11" t="s">
        <v>935</v>
      </c>
      <c r="G190" s="26">
        <v>299</v>
      </c>
      <c r="H190" s="11" t="s">
        <v>936</v>
      </c>
      <c r="I190" s="27" t="s">
        <v>157</v>
      </c>
      <c r="J190" s="28">
        <v>0</v>
      </c>
      <c r="K190" s="26" t="s">
        <v>499</v>
      </c>
      <c r="L190" s="26">
        <v>7</v>
      </c>
      <c r="M190" s="28">
        <f>L190+J190</f>
        <v>7</v>
      </c>
      <c r="N190" s="28">
        <v>120</v>
      </c>
      <c r="O190" s="28">
        <v>60</v>
      </c>
      <c r="P190" s="64">
        <f t="shared" si="26"/>
        <v>125580</v>
      </c>
      <c r="Q190" s="61">
        <v>125580</v>
      </c>
      <c r="R190" s="38" t="s">
        <v>937</v>
      </c>
      <c r="S190" s="38" t="s">
        <v>938</v>
      </c>
      <c r="T190" s="38" t="s">
        <v>937</v>
      </c>
      <c r="U190" s="38" t="str">
        <f t="shared" si="25"/>
        <v>港澳处、律所、会所三方审核结论一致，符合给予租金补贴125580元条件。</v>
      </c>
    </row>
    <row r="191" ht="300" customHeight="1" spans="1:21">
      <c r="A191" s="11">
        <v>113</v>
      </c>
      <c r="B191" s="11" t="s">
        <v>108</v>
      </c>
      <c r="C191" s="11" t="s">
        <v>939</v>
      </c>
      <c r="D191" s="11" t="s">
        <v>940</v>
      </c>
      <c r="E191" s="13" t="s">
        <v>154</v>
      </c>
      <c r="F191" s="11" t="s">
        <v>939</v>
      </c>
      <c r="G191" s="26">
        <v>713</v>
      </c>
      <c r="H191" s="11" t="s">
        <v>936</v>
      </c>
      <c r="I191" s="27" t="s">
        <v>157</v>
      </c>
      <c r="J191" s="28">
        <v>0</v>
      </c>
      <c r="K191" s="26" t="s">
        <v>499</v>
      </c>
      <c r="L191" s="26">
        <v>7</v>
      </c>
      <c r="M191" s="28">
        <f>L191+J191</f>
        <v>7</v>
      </c>
      <c r="N191" s="28">
        <v>120</v>
      </c>
      <c r="O191" s="28">
        <v>60</v>
      </c>
      <c r="P191" s="64">
        <f t="shared" si="26"/>
        <v>299460</v>
      </c>
      <c r="Q191" s="61">
        <v>299460</v>
      </c>
      <c r="R191" s="38" t="s">
        <v>941</v>
      </c>
      <c r="S191" s="38" t="s">
        <v>942</v>
      </c>
      <c r="T191" s="38" t="s">
        <v>941</v>
      </c>
      <c r="U191" s="38" t="str">
        <f t="shared" si="25"/>
        <v>港澳处、律所、会所三方审核结论一致，符合给予租金补贴299460元条件。</v>
      </c>
    </row>
    <row r="192" ht="150" customHeight="1" spans="1:21">
      <c r="A192" s="11">
        <v>114</v>
      </c>
      <c r="B192" s="11" t="s">
        <v>109</v>
      </c>
      <c r="C192" s="11" t="s">
        <v>943</v>
      </c>
      <c r="D192" s="11" t="s">
        <v>944</v>
      </c>
      <c r="E192" s="17" t="s">
        <v>154</v>
      </c>
      <c r="F192" s="11" t="s">
        <v>945</v>
      </c>
      <c r="G192" s="26">
        <v>1224.08</v>
      </c>
      <c r="H192" s="11" t="s">
        <v>946</v>
      </c>
      <c r="I192" s="27" t="s">
        <v>220</v>
      </c>
      <c r="J192" s="28">
        <f>(28-21+1)/28+4</f>
        <v>4.28571428571429</v>
      </c>
      <c r="K192" s="26" t="s">
        <v>265</v>
      </c>
      <c r="L192" s="26">
        <v>4</v>
      </c>
      <c r="M192" s="28">
        <f>J192+L192+L193</f>
        <v>9.28571428571428</v>
      </c>
      <c r="N192" s="28">
        <v>107.12</v>
      </c>
      <c r="O192" s="28">
        <f t="shared" si="24"/>
        <v>53.56</v>
      </c>
      <c r="P192" s="64">
        <f>G192*107.12*0.5*L192</f>
        <v>262246.8992</v>
      </c>
      <c r="Q192" s="61">
        <v>300000</v>
      </c>
      <c r="R192" s="38" t="s">
        <v>476</v>
      </c>
      <c r="S192" s="38" t="s">
        <v>477</v>
      </c>
      <c r="T192" s="38" t="s">
        <v>476</v>
      </c>
      <c r="U192" s="38" t="str">
        <f t="shared" si="25"/>
        <v>港澳处、律所、会所三方审核结论一致，符合给予租金补贴300000元条件。</v>
      </c>
    </row>
    <row r="193" ht="150" customHeight="1" spans="1:21">
      <c r="A193" s="11"/>
      <c r="B193" s="11"/>
      <c r="C193" s="11"/>
      <c r="D193" s="11"/>
      <c r="E193" s="18"/>
      <c r="F193" s="11"/>
      <c r="G193" s="26">
        <v>1017</v>
      </c>
      <c r="H193" s="11" t="s">
        <v>947</v>
      </c>
      <c r="I193" s="27"/>
      <c r="J193" s="28"/>
      <c r="K193" s="11" t="s">
        <v>947</v>
      </c>
      <c r="L193" s="26">
        <v>1</v>
      </c>
      <c r="M193" s="28"/>
      <c r="N193" s="28">
        <v>107.12</v>
      </c>
      <c r="O193" s="28">
        <f t="shared" si="24"/>
        <v>53.56</v>
      </c>
      <c r="P193" s="64">
        <f>G193*L193*107.12*0.5</f>
        <v>54470.52</v>
      </c>
      <c r="Q193" s="61"/>
      <c r="R193" s="38"/>
      <c r="S193" s="38"/>
      <c r="T193" s="38"/>
      <c r="U193" s="38"/>
    </row>
    <row r="194" ht="150" customHeight="1" spans="1:21">
      <c r="A194" s="11">
        <v>115</v>
      </c>
      <c r="B194" s="11" t="s">
        <v>110</v>
      </c>
      <c r="C194" s="11" t="s">
        <v>948</v>
      </c>
      <c r="D194" s="11" t="s">
        <v>949</v>
      </c>
      <c r="E194" s="17" t="s">
        <v>154</v>
      </c>
      <c r="F194" s="11" t="s">
        <v>950</v>
      </c>
      <c r="G194" s="26">
        <v>146.62</v>
      </c>
      <c r="H194" s="11" t="s">
        <v>951</v>
      </c>
      <c r="I194" s="27" t="s">
        <v>157</v>
      </c>
      <c r="J194" s="28">
        <v>0</v>
      </c>
      <c r="K194" s="26" t="s">
        <v>320</v>
      </c>
      <c r="L194" s="26">
        <v>4</v>
      </c>
      <c r="M194" s="28">
        <f>L195</f>
        <v>5</v>
      </c>
      <c r="N194" s="28">
        <v>80</v>
      </c>
      <c r="O194" s="28">
        <v>40</v>
      </c>
      <c r="P194" s="64">
        <f>G194*L194*O194</f>
        <v>23459.2</v>
      </c>
      <c r="Q194" s="61">
        <v>134943</v>
      </c>
      <c r="R194" s="38" t="s">
        <v>952</v>
      </c>
      <c r="S194" s="38" t="s">
        <v>953</v>
      </c>
      <c r="T194" s="38" t="s">
        <v>952</v>
      </c>
      <c r="U194" s="38" t="str">
        <f t="shared" ref="U194:U197" si="27">"港澳处、律所、会所三方审核结论一致，符合给予租金补贴"&amp;Q194&amp;"元条件。"</f>
        <v>港澳处、律所、会所三方审核结论一致，符合给予租金补贴134943元条件。</v>
      </c>
    </row>
    <row r="195" ht="150" customHeight="1" spans="1:21">
      <c r="A195" s="11"/>
      <c r="B195" s="11"/>
      <c r="C195" s="11"/>
      <c r="D195" s="11"/>
      <c r="E195" s="18"/>
      <c r="F195" s="11" t="s">
        <v>954</v>
      </c>
      <c r="G195" s="26">
        <v>557.42</v>
      </c>
      <c r="H195" s="11" t="s">
        <v>466</v>
      </c>
      <c r="I195" s="27"/>
      <c r="J195" s="28"/>
      <c r="K195" s="26" t="s">
        <v>314</v>
      </c>
      <c r="L195" s="26">
        <v>5</v>
      </c>
      <c r="M195" s="28"/>
      <c r="N195" s="28">
        <v>80</v>
      </c>
      <c r="O195" s="28">
        <f t="shared" ref="O195:O202" si="28">N195*0.5</f>
        <v>40</v>
      </c>
      <c r="P195" s="64">
        <f>G195*L195*O195</f>
        <v>111484</v>
      </c>
      <c r="Q195" s="61"/>
      <c r="R195" s="38"/>
      <c r="S195" s="38"/>
      <c r="T195" s="38"/>
      <c r="U195" s="38"/>
    </row>
    <row r="196" ht="300" customHeight="1" spans="1:21">
      <c r="A196" s="11">
        <v>116</v>
      </c>
      <c r="B196" s="11" t="s">
        <v>111</v>
      </c>
      <c r="C196" s="11" t="s">
        <v>955</v>
      </c>
      <c r="D196" s="11" t="s">
        <v>956</v>
      </c>
      <c r="E196" s="13" t="s">
        <v>154</v>
      </c>
      <c r="F196" s="11" t="s">
        <v>957</v>
      </c>
      <c r="G196" s="26">
        <v>7</v>
      </c>
      <c r="H196" s="11" t="s">
        <v>958</v>
      </c>
      <c r="I196" s="27" t="s">
        <v>157</v>
      </c>
      <c r="J196" s="28">
        <v>0</v>
      </c>
      <c r="K196" s="26" t="s">
        <v>959</v>
      </c>
      <c r="L196" s="26">
        <f>1+(31-27+1)/31</f>
        <v>1.16129032258065</v>
      </c>
      <c r="M196" s="28">
        <f>L196+J196</f>
        <v>1.16129032258065</v>
      </c>
      <c r="N196" s="28">
        <v>147.46</v>
      </c>
      <c r="O196" s="28">
        <v>60</v>
      </c>
      <c r="P196" s="64">
        <f t="shared" ref="P196:P198" si="29">G196*L196*60</f>
        <v>487.741935483871</v>
      </c>
      <c r="Q196" s="61">
        <v>487</v>
      </c>
      <c r="R196" s="38" t="s">
        <v>960</v>
      </c>
      <c r="S196" s="38" t="s">
        <v>961</v>
      </c>
      <c r="T196" s="38" t="s">
        <v>960</v>
      </c>
      <c r="U196" s="38" t="str">
        <f t="shared" si="27"/>
        <v>港澳处、律所、会所三方审核结论一致，符合给予租金补贴487元条件。</v>
      </c>
    </row>
    <row r="197" ht="150" customHeight="1" spans="1:21">
      <c r="A197" s="11">
        <v>117</v>
      </c>
      <c r="B197" s="11" t="s">
        <v>112</v>
      </c>
      <c r="C197" s="11" t="s">
        <v>962</v>
      </c>
      <c r="D197" s="11" t="s">
        <v>963</v>
      </c>
      <c r="E197" s="17" t="s">
        <v>154</v>
      </c>
      <c r="F197" s="11" t="s">
        <v>964</v>
      </c>
      <c r="G197" s="26">
        <v>1000</v>
      </c>
      <c r="H197" s="11" t="s">
        <v>481</v>
      </c>
      <c r="I197" s="27" t="s">
        <v>157</v>
      </c>
      <c r="J197" s="28">
        <v>0</v>
      </c>
      <c r="K197" s="66" t="s">
        <v>965</v>
      </c>
      <c r="L197" s="66">
        <f>(29-22+1)/29+4</f>
        <v>4.27586206896552</v>
      </c>
      <c r="M197" s="69">
        <f>L197+J197+L198</f>
        <v>4.64252873563218</v>
      </c>
      <c r="N197" s="28">
        <v>147.47</v>
      </c>
      <c r="O197" s="28">
        <v>60</v>
      </c>
      <c r="P197" s="70">
        <f t="shared" si="29"/>
        <v>256551.724137931</v>
      </c>
      <c r="Q197" s="62">
        <f>ROUNDDOWN(P197+P198,0)</f>
        <v>274303</v>
      </c>
      <c r="R197" s="38" t="s">
        <v>476</v>
      </c>
      <c r="S197" s="38" t="s">
        <v>477</v>
      </c>
      <c r="T197" s="38" t="s">
        <v>476</v>
      </c>
      <c r="U197" s="38" t="str">
        <f t="shared" si="27"/>
        <v>港澳处、律所、会所三方审核结论一致，符合给予租金补贴274303元条件。</v>
      </c>
    </row>
    <row r="198" ht="150" customHeight="1" spans="1:21">
      <c r="A198" s="11"/>
      <c r="B198" s="11"/>
      <c r="C198" s="11"/>
      <c r="D198" s="11"/>
      <c r="E198" s="18"/>
      <c r="F198" s="11" t="s">
        <v>968</v>
      </c>
      <c r="G198" s="26">
        <v>806.89</v>
      </c>
      <c r="H198" s="11" t="s">
        <v>969</v>
      </c>
      <c r="I198" s="27"/>
      <c r="J198" s="28"/>
      <c r="K198" s="26" t="s">
        <v>970</v>
      </c>
      <c r="L198" s="26">
        <f>(30-20+1)/30</f>
        <v>0.366666666666667</v>
      </c>
      <c r="M198" s="69"/>
      <c r="N198" s="28">
        <v>139</v>
      </c>
      <c r="O198" s="28">
        <v>60</v>
      </c>
      <c r="P198" s="70">
        <f t="shared" si="29"/>
        <v>17751.58</v>
      </c>
      <c r="Q198" s="62"/>
      <c r="R198" s="38"/>
      <c r="S198" s="38"/>
      <c r="T198" s="38"/>
      <c r="U198" s="38"/>
    </row>
    <row r="199" ht="150" customHeight="1" spans="1:21">
      <c r="A199" s="11">
        <v>118</v>
      </c>
      <c r="B199" s="11" t="s">
        <v>113</v>
      </c>
      <c r="C199" s="11" t="s">
        <v>971</v>
      </c>
      <c r="D199" s="11" t="s">
        <v>972</v>
      </c>
      <c r="E199" s="17" t="s">
        <v>154</v>
      </c>
      <c r="F199" s="11" t="s">
        <v>973</v>
      </c>
      <c r="G199" s="26">
        <v>26</v>
      </c>
      <c r="H199" s="11" t="s">
        <v>616</v>
      </c>
      <c r="I199" s="26" t="s">
        <v>157</v>
      </c>
      <c r="J199" s="28">
        <v>0</v>
      </c>
      <c r="K199" s="26" t="s">
        <v>542</v>
      </c>
      <c r="L199" s="26">
        <v>1</v>
      </c>
      <c r="M199" s="28">
        <f>L200+L201+L199</f>
        <v>6</v>
      </c>
      <c r="N199" s="28">
        <f>2786.16/G199/L199</f>
        <v>107.16</v>
      </c>
      <c r="O199" s="28">
        <f t="shared" si="28"/>
        <v>53.58</v>
      </c>
      <c r="P199" s="64">
        <f>2786.16*0.5</f>
        <v>1393.08</v>
      </c>
      <c r="Q199" s="61">
        <v>36405</v>
      </c>
      <c r="R199" s="38" t="s">
        <v>974</v>
      </c>
      <c r="S199" s="38" t="s">
        <v>975</v>
      </c>
      <c r="T199" s="38" t="s">
        <v>974</v>
      </c>
      <c r="U199" s="38" t="str">
        <f t="shared" ref="U199:U205" si="30">"港澳处、律所、会所三方审核结论一致，符合给予租金补贴"&amp;Q199&amp;"元条件。"</f>
        <v>港澳处、律所、会所三方审核结论一致，符合给予租金补贴36405元条件。</v>
      </c>
    </row>
    <row r="200" ht="150" customHeight="1" spans="1:21">
      <c r="A200" s="11"/>
      <c r="B200" s="11"/>
      <c r="C200" s="11"/>
      <c r="D200" s="11"/>
      <c r="E200" s="20"/>
      <c r="F200" s="11" t="s">
        <v>976</v>
      </c>
      <c r="G200" s="26">
        <v>29</v>
      </c>
      <c r="H200" s="11" t="s">
        <v>977</v>
      </c>
      <c r="I200" s="26"/>
      <c r="J200" s="28"/>
      <c r="K200" s="11" t="s">
        <v>977</v>
      </c>
      <c r="L200" s="26">
        <v>2</v>
      </c>
      <c r="M200" s="28"/>
      <c r="N200" s="28">
        <f>3107.64/G200</f>
        <v>107.16</v>
      </c>
      <c r="O200" s="28">
        <f t="shared" si="28"/>
        <v>53.58</v>
      </c>
      <c r="P200" s="64">
        <f>3107.64*2*0.5</f>
        <v>3107.64</v>
      </c>
      <c r="Q200" s="61"/>
      <c r="R200" s="38"/>
      <c r="S200" s="38"/>
      <c r="T200" s="38"/>
      <c r="U200" s="38"/>
    </row>
    <row r="201" ht="150" customHeight="1" spans="1:21">
      <c r="A201" s="11"/>
      <c r="B201" s="11"/>
      <c r="C201" s="11"/>
      <c r="D201" s="11"/>
      <c r="E201" s="20"/>
      <c r="F201" s="11" t="s">
        <v>978</v>
      </c>
      <c r="G201" s="26">
        <v>55</v>
      </c>
      <c r="H201" s="11" t="s">
        <v>979</v>
      </c>
      <c r="I201" s="26"/>
      <c r="J201" s="28"/>
      <c r="K201" s="11" t="s">
        <v>979</v>
      </c>
      <c r="L201" s="26">
        <v>3</v>
      </c>
      <c r="M201" s="28"/>
      <c r="N201" s="28">
        <f>(3107.64+2786.16)/G201</f>
        <v>107.16</v>
      </c>
      <c r="O201" s="28">
        <f t="shared" si="28"/>
        <v>53.58</v>
      </c>
      <c r="P201" s="64">
        <f>3107.64*3*0.5+2786.16*3*0.5</f>
        <v>8840.7</v>
      </c>
      <c r="Q201" s="61"/>
      <c r="R201" s="38"/>
      <c r="S201" s="38"/>
      <c r="T201" s="38"/>
      <c r="U201" s="38"/>
    </row>
    <row r="202" ht="150" customHeight="1" spans="1:21">
      <c r="A202" s="11"/>
      <c r="B202" s="11"/>
      <c r="C202" s="11"/>
      <c r="D202" s="11"/>
      <c r="E202" s="18"/>
      <c r="F202" s="11" t="s">
        <v>980</v>
      </c>
      <c r="G202" s="26">
        <v>115.3</v>
      </c>
      <c r="H202" s="11" t="s">
        <v>981</v>
      </c>
      <c r="I202" s="26"/>
      <c r="J202" s="28"/>
      <c r="K202" s="11" t="s">
        <v>982</v>
      </c>
      <c r="L202" s="26">
        <f>(31-7+1)/31+3</f>
        <v>3.80645161290323</v>
      </c>
      <c r="M202" s="28"/>
      <c r="N202" s="28">
        <f>(12355.55+9060.74+12355.55+12355.55)/G202/L202</f>
        <v>105.10158392991</v>
      </c>
      <c r="O202" s="28">
        <f t="shared" si="28"/>
        <v>52.5507919649551</v>
      </c>
      <c r="P202" s="64">
        <f>(12355.55+9060.74+12355.55+12355.55)*0.5</f>
        <v>23063.695</v>
      </c>
      <c r="Q202" s="61"/>
      <c r="R202" s="38"/>
      <c r="S202" s="38"/>
      <c r="T202" s="38"/>
      <c r="U202" s="38"/>
    </row>
    <row r="203" s="3" customFormat="1" ht="300" customHeight="1" spans="1:21">
      <c r="A203" s="11">
        <v>119</v>
      </c>
      <c r="B203" s="11" t="s">
        <v>114</v>
      </c>
      <c r="C203" s="11" t="s">
        <v>983</v>
      </c>
      <c r="D203" s="11" t="s">
        <v>984</v>
      </c>
      <c r="E203" s="11" t="s">
        <v>154</v>
      </c>
      <c r="F203" s="11" t="s">
        <v>985</v>
      </c>
      <c r="G203" s="26">
        <v>268</v>
      </c>
      <c r="H203" s="11" t="s">
        <v>466</v>
      </c>
      <c r="I203" s="11" t="s">
        <v>157</v>
      </c>
      <c r="J203" s="28">
        <v>0</v>
      </c>
      <c r="K203" s="67" t="s">
        <v>986</v>
      </c>
      <c r="L203" s="66">
        <f>(30-8+1)/30+2</f>
        <v>2.76666666666667</v>
      </c>
      <c r="M203" s="28">
        <f>L203+J203</f>
        <v>2.76666666666667</v>
      </c>
      <c r="N203" s="28">
        <f>34000/268</f>
        <v>126.865671641791</v>
      </c>
      <c r="O203" s="28">
        <v>60</v>
      </c>
      <c r="P203" s="64">
        <f t="shared" ref="P203:P206" si="31">G203*L203*60</f>
        <v>44488</v>
      </c>
      <c r="Q203" s="62">
        <f>P203</f>
        <v>44488</v>
      </c>
      <c r="R203" s="38" t="s">
        <v>1108</v>
      </c>
      <c r="S203" s="38" t="s">
        <v>1109</v>
      </c>
      <c r="T203" s="38" t="s">
        <v>1108</v>
      </c>
      <c r="U203" s="38" t="str">
        <f t="shared" si="30"/>
        <v>港澳处、律所、会所三方审核结论一致，符合给予租金补贴44488元条件。</v>
      </c>
    </row>
    <row r="204" ht="300" customHeight="1" spans="1:21">
      <c r="A204" s="11">
        <v>120</v>
      </c>
      <c r="B204" s="11" t="s">
        <v>115</v>
      </c>
      <c r="C204" s="11" t="s">
        <v>245</v>
      </c>
      <c r="D204" s="11" t="s">
        <v>989</v>
      </c>
      <c r="E204" s="13" t="s">
        <v>154</v>
      </c>
      <c r="F204" s="11" t="s">
        <v>990</v>
      </c>
      <c r="G204" s="26">
        <v>8.5</v>
      </c>
      <c r="H204" s="11" t="s">
        <v>991</v>
      </c>
      <c r="I204" s="11" t="s">
        <v>157</v>
      </c>
      <c r="J204" s="28">
        <v>0</v>
      </c>
      <c r="K204" s="11" t="s">
        <v>992</v>
      </c>
      <c r="L204" s="26">
        <f>(31-17+1)/31+13</f>
        <v>13.4838709677419</v>
      </c>
      <c r="M204" s="28">
        <f>L204+J204</f>
        <v>13.4838709677419</v>
      </c>
      <c r="N204" s="28">
        <f>1000/8.5</f>
        <v>117.647058823529</v>
      </c>
      <c r="O204" s="28">
        <f t="shared" ref="O204:O208" si="32">N204*0.5</f>
        <v>58.8235294117647</v>
      </c>
      <c r="P204" s="64">
        <f>G204*L204*(1000/8.5)/2</f>
        <v>6741.93548387097</v>
      </c>
      <c r="Q204" s="61">
        <v>6741</v>
      </c>
      <c r="R204" s="38" t="s">
        <v>993</v>
      </c>
      <c r="S204" s="38" t="s">
        <v>994</v>
      </c>
      <c r="T204" s="38" t="s">
        <v>993</v>
      </c>
      <c r="U204" s="38" t="str">
        <f t="shared" si="30"/>
        <v>港澳处、律所、会所三方审核结论一致，符合给予租金补贴6741元条件。</v>
      </c>
    </row>
    <row r="205" ht="150" customHeight="1" spans="1:21">
      <c r="A205" s="11">
        <v>121</v>
      </c>
      <c r="B205" s="11" t="s">
        <v>116</v>
      </c>
      <c r="C205" s="11" t="s">
        <v>995</v>
      </c>
      <c r="D205" s="11" t="s">
        <v>996</v>
      </c>
      <c r="E205" s="17" t="s">
        <v>154</v>
      </c>
      <c r="F205" s="11" t="s">
        <v>997</v>
      </c>
      <c r="G205" s="26">
        <v>150</v>
      </c>
      <c r="H205" s="11" t="s">
        <v>998</v>
      </c>
      <c r="I205" s="11" t="s">
        <v>157</v>
      </c>
      <c r="J205" s="28">
        <v>0</v>
      </c>
      <c r="K205" s="11" t="s">
        <v>998</v>
      </c>
      <c r="L205" s="26">
        <f>(31-28+1)/31+3+27/30</f>
        <v>4.02903225806452</v>
      </c>
      <c r="M205" s="28">
        <f>L205+L206+J205</f>
        <v>6.02903225806452</v>
      </c>
      <c r="N205" s="28">
        <f>22000/150</f>
        <v>146.666666666667</v>
      </c>
      <c r="O205" s="28">
        <v>60</v>
      </c>
      <c r="P205" s="64">
        <f t="shared" si="31"/>
        <v>36261.2903225806</v>
      </c>
      <c r="Q205" s="61">
        <v>56061</v>
      </c>
      <c r="R205" s="38" t="s">
        <v>999</v>
      </c>
      <c r="S205" s="38" t="s">
        <v>1000</v>
      </c>
      <c r="T205" s="38" t="s">
        <v>999</v>
      </c>
      <c r="U205" s="38" t="str">
        <f t="shared" si="30"/>
        <v>港澳处、律所、会所三方审核结论一致，符合给予租金补贴56061元条件。</v>
      </c>
    </row>
    <row r="206" ht="150" customHeight="1" spans="1:21">
      <c r="A206" s="11"/>
      <c r="B206" s="11"/>
      <c r="C206" s="11"/>
      <c r="D206" s="11"/>
      <c r="E206" s="18"/>
      <c r="F206" s="11" t="s">
        <v>1001</v>
      </c>
      <c r="G206" s="26">
        <v>165</v>
      </c>
      <c r="H206" s="11" t="s">
        <v>1002</v>
      </c>
      <c r="I206" s="11"/>
      <c r="J206" s="28"/>
      <c r="K206" s="26" t="s">
        <v>1003</v>
      </c>
      <c r="L206" s="26">
        <f>(30-28+1)/30+1+27/30</f>
        <v>2</v>
      </c>
      <c r="M206" s="28"/>
      <c r="N206" s="28">
        <v>147.46</v>
      </c>
      <c r="O206" s="28">
        <v>60</v>
      </c>
      <c r="P206" s="64">
        <f t="shared" si="31"/>
        <v>19800</v>
      </c>
      <c r="Q206" s="61"/>
      <c r="R206" s="38"/>
      <c r="S206" s="38"/>
      <c r="T206" s="38"/>
      <c r="U206" s="38"/>
    </row>
    <row r="207" ht="150" customHeight="1" spans="1:21">
      <c r="A207" s="11">
        <v>122</v>
      </c>
      <c r="B207" s="11" t="s">
        <v>117</v>
      </c>
      <c r="C207" s="11" t="s">
        <v>644</v>
      </c>
      <c r="D207" s="11" t="s">
        <v>1004</v>
      </c>
      <c r="E207" s="17" t="s">
        <v>154</v>
      </c>
      <c r="F207" s="11" t="s">
        <v>1005</v>
      </c>
      <c r="G207" s="26">
        <v>10</v>
      </c>
      <c r="H207" s="11" t="s">
        <v>1006</v>
      </c>
      <c r="I207" s="11" t="s">
        <v>157</v>
      </c>
      <c r="J207" s="28">
        <v>0</v>
      </c>
      <c r="K207" s="11" t="s">
        <v>1006</v>
      </c>
      <c r="L207" s="26">
        <v>12</v>
      </c>
      <c r="M207" s="28">
        <f>+L207+L208</f>
        <v>19.2</v>
      </c>
      <c r="N207" s="28">
        <f>1090/10</f>
        <v>109</v>
      </c>
      <c r="O207" s="28">
        <f t="shared" si="32"/>
        <v>54.5</v>
      </c>
      <c r="P207" s="64">
        <f>L207*1090/2</f>
        <v>6540</v>
      </c>
      <c r="Q207" s="61">
        <v>10464</v>
      </c>
      <c r="R207" s="38" t="s">
        <v>1007</v>
      </c>
      <c r="S207" s="38" t="s">
        <v>1008</v>
      </c>
      <c r="T207" s="38" t="s">
        <v>1007</v>
      </c>
      <c r="U207" s="38" t="str">
        <f t="shared" ref="U207:U210" si="33">"港澳处、律所、会所三方审核结论一致，符合给予租金补贴"&amp;Q207&amp;"元条件。"</f>
        <v>港澳处、律所、会所三方审核结论一致，符合给予租金补贴10464元条件。</v>
      </c>
    </row>
    <row r="208" ht="150" customHeight="1" spans="1:21">
      <c r="A208" s="11"/>
      <c r="B208" s="11"/>
      <c r="C208" s="11"/>
      <c r="D208" s="11"/>
      <c r="E208" s="18"/>
      <c r="F208" s="11" t="s">
        <v>1009</v>
      </c>
      <c r="G208" s="26">
        <v>10</v>
      </c>
      <c r="H208" s="11" t="s">
        <v>1010</v>
      </c>
      <c r="I208" s="11"/>
      <c r="J208" s="28"/>
      <c r="K208" s="11" t="s">
        <v>233</v>
      </c>
      <c r="L208" s="26">
        <f>(30-25+1)/30+7</f>
        <v>7.2</v>
      </c>
      <c r="M208" s="28"/>
      <c r="N208" s="28">
        <f>1090/10</f>
        <v>109</v>
      </c>
      <c r="O208" s="28">
        <f t="shared" si="32"/>
        <v>54.5</v>
      </c>
      <c r="P208" s="64">
        <f>L208*1090/2</f>
        <v>3924</v>
      </c>
      <c r="Q208" s="61"/>
      <c r="R208" s="38"/>
      <c r="S208" s="38"/>
      <c r="T208" s="38"/>
      <c r="U208" s="38"/>
    </row>
    <row r="209" ht="300" customHeight="1" spans="1:21">
      <c r="A209" s="11">
        <v>123</v>
      </c>
      <c r="B209" s="11" t="s">
        <v>118</v>
      </c>
      <c r="C209" s="11" t="s">
        <v>1011</v>
      </c>
      <c r="D209" s="11" t="s">
        <v>1012</v>
      </c>
      <c r="E209" s="13" t="s">
        <v>154</v>
      </c>
      <c r="F209" s="11" t="s">
        <v>1013</v>
      </c>
      <c r="G209" s="26">
        <v>10</v>
      </c>
      <c r="H209" s="11" t="s">
        <v>1014</v>
      </c>
      <c r="I209" s="11" t="s">
        <v>157</v>
      </c>
      <c r="J209" s="28">
        <v>0</v>
      </c>
      <c r="K209" s="11" t="s">
        <v>1015</v>
      </c>
      <c r="L209" s="26">
        <f>(30-8+1)/30+12</f>
        <v>12.7666666666667</v>
      </c>
      <c r="M209" s="28">
        <f>L209+J209</f>
        <v>12.7666666666667</v>
      </c>
      <c r="N209" s="28">
        <v>150</v>
      </c>
      <c r="O209" s="28">
        <v>60</v>
      </c>
      <c r="P209" s="64">
        <f>G209*L209*60</f>
        <v>7660</v>
      </c>
      <c r="Q209" s="61">
        <v>7660</v>
      </c>
      <c r="R209" s="38" t="s">
        <v>1016</v>
      </c>
      <c r="S209" s="38" t="s">
        <v>1017</v>
      </c>
      <c r="T209" s="38" t="s">
        <v>1016</v>
      </c>
      <c r="U209" s="38" t="str">
        <f t="shared" si="33"/>
        <v>港澳处、律所、会所三方审核结论一致，符合给予租金补贴7660元条件。</v>
      </c>
    </row>
    <row r="210" ht="150" customHeight="1" spans="1:21">
      <c r="A210" s="11">
        <v>124</v>
      </c>
      <c r="B210" s="11" t="s">
        <v>119</v>
      </c>
      <c r="C210" s="11" t="s">
        <v>1018</v>
      </c>
      <c r="D210" s="11" t="s">
        <v>1019</v>
      </c>
      <c r="E210" s="17" t="s">
        <v>154</v>
      </c>
      <c r="F210" s="11" t="s">
        <v>1020</v>
      </c>
      <c r="G210" s="26">
        <v>42.38</v>
      </c>
      <c r="H210" s="11" t="s">
        <v>1021</v>
      </c>
      <c r="I210" s="11" t="s">
        <v>157</v>
      </c>
      <c r="J210" s="28">
        <v>0</v>
      </c>
      <c r="K210" s="26" t="s">
        <v>1022</v>
      </c>
      <c r="L210" s="26">
        <f>6+27/31</f>
        <v>6.87096774193548</v>
      </c>
      <c r="M210" s="28">
        <f>L210+L211+J210</f>
        <v>12.5483870967742</v>
      </c>
      <c r="N210" s="28">
        <v>143.17</v>
      </c>
      <c r="O210" s="28">
        <v>60</v>
      </c>
      <c r="P210" s="64">
        <f>G210*L210*60</f>
        <v>17471.4967741935</v>
      </c>
      <c r="Q210" s="61">
        <v>29121</v>
      </c>
      <c r="R210" s="38" t="s">
        <v>1023</v>
      </c>
      <c r="S210" s="38" t="s">
        <v>1024</v>
      </c>
      <c r="T210" s="38" t="s">
        <v>1023</v>
      </c>
      <c r="U210" s="38" t="str">
        <f t="shared" si="33"/>
        <v>港澳处、律所、会所三方审核结论一致，符合给予租金补贴29121元条件。</v>
      </c>
    </row>
    <row r="211" ht="150" customHeight="1" spans="1:21">
      <c r="A211" s="11"/>
      <c r="B211" s="11"/>
      <c r="C211" s="11"/>
      <c r="D211" s="11"/>
      <c r="E211" s="18"/>
      <c r="F211" s="11" t="s">
        <v>1025</v>
      </c>
      <c r="G211" s="26">
        <v>34.2</v>
      </c>
      <c r="H211" s="11" t="s">
        <v>1026</v>
      </c>
      <c r="I211" s="11"/>
      <c r="J211" s="28"/>
      <c r="K211" s="11" t="s">
        <v>1027</v>
      </c>
      <c r="L211" s="26">
        <f>(31-11+1)/31+5</f>
        <v>5.67741935483871</v>
      </c>
      <c r="M211" s="28"/>
      <c r="N211" s="28">
        <v>147.46</v>
      </c>
      <c r="O211" s="28">
        <v>60</v>
      </c>
      <c r="P211" s="64">
        <f>G211*L211*60</f>
        <v>11650.064516129</v>
      </c>
      <c r="Q211" s="61"/>
      <c r="R211" s="38"/>
      <c r="S211" s="38"/>
      <c r="T211" s="38"/>
      <c r="U211" s="38"/>
    </row>
    <row r="212" ht="300" customHeight="1" spans="1:21">
      <c r="A212" s="11">
        <v>126</v>
      </c>
      <c r="B212" s="11" t="s">
        <v>120</v>
      </c>
      <c r="C212" s="11" t="s">
        <v>1028</v>
      </c>
      <c r="D212" s="11" t="s">
        <v>1029</v>
      </c>
      <c r="E212" s="13" t="s">
        <v>154</v>
      </c>
      <c r="F212" s="11" t="s">
        <v>1030</v>
      </c>
      <c r="G212" s="26">
        <v>10</v>
      </c>
      <c r="H212" s="11" t="s">
        <v>782</v>
      </c>
      <c r="I212" s="11" t="s">
        <v>157</v>
      </c>
      <c r="J212" s="28">
        <v>0</v>
      </c>
      <c r="K212" s="26" t="s">
        <v>320</v>
      </c>
      <c r="L212" s="26">
        <v>4</v>
      </c>
      <c r="M212" s="28">
        <f t="shared" ref="M212:M217" si="34">L212+J212</f>
        <v>4</v>
      </c>
      <c r="N212" s="28">
        <v>130</v>
      </c>
      <c r="O212" s="28">
        <v>60</v>
      </c>
      <c r="P212" s="64">
        <f t="shared" ref="P212:P220" si="35">G212*L212*60</f>
        <v>2400</v>
      </c>
      <c r="Q212" s="61">
        <v>2400</v>
      </c>
      <c r="R212" s="38" t="s">
        <v>1031</v>
      </c>
      <c r="S212" s="38" t="s">
        <v>1032</v>
      </c>
      <c r="T212" s="38" t="s">
        <v>1031</v>
      </c>
      <c r="U212" s="38" t="str">
        <f t="shared" ref="U212:U218" si="36">"港澳处、律所、会所三方审核结论一致，符合给予租金补贴"&amp;Q212&amp;"元条件。"</f>
        <v>港澳处、律所、会所三方审核结论一致，符合给予租金补贴2400元条件。</v>
      </c>
    </row>
    <row r="213" ht="300" customHeight="1" spans="1:21">
      <c r="A213" s="11">
        <v>127</v>
      </c>
      <c r="B213" s="11" t="s">
        <v>121</v>
      </c>
      <c r="C213" s="11" t="s">
        <v>1033</v>
      </c>
      <c r="D213" s="11" t="s">
        <v>1034</v>
      </c>
      <c r="E213" s="13" t="s">
        <v>154</v>
      </c>
      <c r="F213" s="11" t="s">
        <v>1035</v>
      </c>
      <c r="G213" s="26">
        <v>10</v>
      </c>
      <c r="H213" s="11" t="s">
        <v>1036</v>
      </c>
      <c r="I213" s="11" t="s">
        <v>157</v>
      </c>
      <c r="J213" s="28">
        <v>0</v>
      </c>
      <c r="K213" s="26" t="s">
        <v>499</v>
      </c>
      <c r="L213" s="26">
        <v>7</v>
      </c>
      <c r="M213" s="28">
        <f t="shared" si="34"/>
        <v>7</v>
      </c>
      <c r="N213" s="28">
        <v>160</v>
      </c>
      <c r="O213" s="28">
        <v>60</v>
      </c>
      <c r="P213" s="64">
        <f t="shared" si="35"/>
        <v>4200</v>
      </c>
      <c r="Q213" s="61">
        <v>4200</v>
      </c>
      <c r="R213" s="38" t="s">
        <v>1037</v>
      </c>
      <c r="S213" s="38" t="s">
        <v>1038</v>
      </c>
      <c r="T213" s="38" t="s">
        <v>1037</v>
      </c>
      <c r="U213" s="38" t="str">
        <f t="shared" si="36"/>
        <v>港澳处、律所、会所三方审核结论一致，符合给予租金补贴4200元条件。</v>
      </c>
    </row>
    <row r="214" ht="300" customHeight="1" spans="1:21">
      <c r="A214" s="11">
        <v>128</v>
      </c>
      <c r="B214" s="11" t="s">
        <v>122</v>
      </c>
      <c r="C214" s="11" t="s">
        <v>1039</v>
      </c>
      <c r="D214" s="11" t="s">
        <v>1040</v>
      </c>
      <c r="E214" s="13" t="s">
        <v>154</v>
      </c>
      <c r="F214" s="11" t="s">
        <v>1041</v>
      </c>
      <c r="G214" s="26">
        <v>10</v>
      </c>
      <c r="H214" s="11" t="s">
        <v>1036</v>
      </c>
      <c r="I214" s="11" t="s">
        <v>157</v>
      </c>
      <c r="J214" s="28">
        <v>0</v>
      </c>
      <c r="K214" s="26" t="s">
        <v>499</v>
      </c>
      <c r="L214" s="26">
        <v>7</v>
      </c>
      <c r="M214" s="28">
        <f t="shared" si="34"/>
        <v>7</v>
      </c>
      <c r="N214" s="28">
        <v>160</v>
      </c>
      <c r="O214" s="28">
        <v>60</v>
      </c>
      <c r="P214" s="64">
        <f t="shared" si="35"/>
        <v>4200</v>
      </c>
      <c r="Q214" s="61">
        <v>4200</v>
      </c>
      <c r="R214" s="38" t="s">
        <v>1037</v>
      </c>
      <c r="S214" s="38" t="s">
        <v>1038</v>
      </c>
      <c r="T214" s="38" t="s">
        <v>1037</v>
      </c>
      <c r="U214" s="38" t="str">
        <f t="shared" si="36"/>
        <v>港澳处、律所、会所三方审核结论一致，符合给予租金补贴4200元条件。</v>
      </c>
    </row>
    <row r="215" ht="300" customHeight="1" spans="1:21">
      <c r="A215" s="11">
        <v>129</v>
      </c>
      <c r="B215" s="11" t="s">
        <v>123</v>
      </c>
      <c r="C215" s="11" t="s">
        <v>1042</v>
      </c>
      <c r="D215" s="11" t="s">
        <v>1043</v>
      </c>
      <c r="E215" s="13" t="s">
        <v>154</v>
      </c>
      <c r="F215" s="11" t="s">
        <v>1044</v>
      </c>
      <c r="G215" s="26">
        <v>10</v>
      </c>
      <c r="H215" s="11" t="s">
        <v>1045</v>
      </c>
      <c r="I215" s="11" t="s">
        <v>220</v>
      </c>
      <c r="J215" s="28">
        <v>12</v>
      </c>
      <c r="K215" s="26" t="s">
        <v>359</v>
      </c>
      <c r="L215" s="26">
        <v>12</v>
      </c>
      <c r="M215" s="28">
        <f t="shared" si="34"/>
        <v>24</v>
      </c>
      <c r="N215" s="28">
        <v>130</v>
      </c>
      <c r="O215" s="28">
        <v>60</v>
      </c>
      <c r="P215" s="64">
        <f t="shared" si="35"/>
        <v>7200</v>
      </c>
      <c r="Q215" s="61">
        <v>7200</v>
      </c>
      <c r="R215" s="38" t="s">
        <v>375</v>
      </c>
      <c r="S215" s="38" t="s">
        <v>376</v>
      </c>
      <c r="T215" s="38" t="s">
        <v>375</v>
      </c>
      <c r="U215" s="38" t="str">
        <f t="shared" si="36"/>
        <v>港澳处、律所、会所三方审核结论一致，符合给予租金补贴7200元条件。</v>
      </c>
    </row>
    <row r="216" ht="300" customHeight="1" spans="1:21">
      <c r="A216" s="11">
        <v>130</v>
      </c>
      <c r="B216" s="11" t="s">
        <v>124</v>
      </c>
      <c r="C216" s="11" t="s">
        <v>1018</v>
      </c>
      <c r="D216" s="11" t="s">
        <v>1046</v>
      </c>
      <c r="E216" s="13" t="s">
        <v>154</v>
      </c>
      <c r="F216" s="11" t="s">
        <v>1047</v>
      </c>
      <c r="G216" s="26">
        <v>10</v>
      </c>
      <c r="H216" s="11" t="s">
        <v>1036</v>
      </c>
      <c r="I216" s="11" t="s">
        <v>157</v>
      </c>
      <c r="J216" s="28">
        <v>0</v>
      </c>
      <c r="K216" s="26" t="s">
        <v>499</v>
      </c>
      <c r="L216" s="26">
        <v>7</v>
      </c>
      <c r="M216" s="28">
        <f t="shared" si="34"/>
        <v>7</v>
      </c>
      <c r="N216" s="28">
        <v>130</v>
      </c>
      <c r="O216" s="28">
        <v>60</v>
      </c>
      <c r="P216" s="64">
        <f t="shared" si="35"/>
        <v>4200</v>
      </c>
      <c r="Q216" s="61">
        <v>4200</v>
      </c>
      <c r="R216" s="38" t="s">
        <v>1037</v>
      </c>
      <c r="S216" s="38" t="s">
        <v>1038</v>
      </c>
      <c r="T216" s="38" t="s">
        <v>1037</v>
      </c>
      <c r="U216" s="38" t="str">
        <f t="shared" si="36"/>
        <v>港澳处、律所、会所三方审核结论一致，符合给予租金补贴4200元条件。</v>
      </c>
    </row>
    <row r="217" ht="300" customHeight="1" spans="1:21">
      <c r="A217" s="11">
        <v>131</v>
      </c>
      <c r="B217" s="11" t="s">
        <v>125</v>
      </c>
      <c r="C217" s="11" t="s">
        <v>1048</v>
      </c>
      <c r="D217" s="11" t="s">
        <v>1049</v>
      </c>
      <c r="E217" s="13" t="s">
        <v>154</v>
      </c>
      <c r="F217" s="11" t="s">
        <v>1050</v>
      </c>
      <c r="G217" s="26">
        <v>50</v>
      </c>
      <c r="H217" s="11" t="s">
        <v>399</v>
      </c>
      <c r="I217" s="11" t="s">
        <v>157</v>
      </c>
      <c r="J217" s="28">
        <v>0</v>
      </c>
      <c r="K217" s="26" t="s">
        <v>1051</v>
      </c>
      <c r="L217" s="26">
        <f>(30-4+1)/30+9</f>
        <v>9.9</v>
      </c>
      <c r="M217" s="28">
        <f t="shared" si="34"/>
        <v>9.9</v>
      </c>
      <c r="N217" s="28">
        <v>150</v>
      </c>
      <c r="O217" s="28">
        <v>60</v>
      </c>
      <c r="P217" s="64">
        <f t="shared" si="35"/>
        <v>29700</v>
      </c>
      <c r="Q217" s="61">
        <v>29700</v>
      </c>
      <c r="R217" s="38" t="s">
        <v>1052</v>
      </c>
      <c r="S217" s="38" t="s">
        <v>1053</v>
      </c>
      <c r="T217" s="38" t="s">
        <v>1052</v>
      </c>
      <c r="U217" s="38" t="str">
        <f t="shared" si="36"/>
        <v>港澳处、律所、会所三方审核结论一致，符合给予租金补贴29700元条件。</v>
      </c>
    </row>
    <row r="218" ht="150" customHeight="1" spans="1:21">
      <c r="A218" s="11">
        <v>132</v>
      </c>
      <c r="B218" s="11" t="s">
        <v>126</v>
      </c>
      <c r="C218" s="11" t="s">
        <v>1054</v>
      </c>
      <c r="D218" s="85" t="s">
        <v>1055</v>
      </c>
      <c r="E218" s="17" t="s">
        <v>154</v>
      </c>
      <c r="F218" s="11" t="s">
        <v>1056</v>
      </c>
      <c r="G218" s="26">
        <v>1560</v>
      </c>
      <c r="H218" s="11" t="s">
        <v>1057</v>
      </c>
      <c r="I218" s="11" t="s">
        <v>157</v>
      </c>
      <c r="J218" s="28">
        <v>0</v>
      </c>
      <c r="K218" s="11" t="s">
        <v>1057</v>
      </c>
      <c r="L218" s="26">
        <v>3</v>
      </c>
      <c r="M218" s="28">
        <f>L218+L219+J218</f>
        <v>5</v>
      </c>
      <c r="N218" s="28">
        <v>147.47</v>
      </c>
      <c r="O218" s="28">
        <v>60</v>
      </c>
      <c r="P218" s="64">
        <f t="shared" si="35"/>
        <v>280800</v>
      </c>
      <c r="Q218" s="61">
        <v>300000</v>
      </c>
      <c r="R218" s="38" t="s">
        <v>476</v>
      </c>
      <c r="S218" s="38" t="s">
        <v>477</v>
      </c>
      <c r="T218" s="38" t="s">
        <v>476</v>
      </c>
      <c r="U218" s="38" t="str">
        <f t="shared" si="36"/>
        <v>港澳处、律所、会所三方审核结论一致，符合给予租金补贴300000元条件。</v>
      </c>
    </row>
    <row r="219" ht="150" customHeight="1" spans="1:21">
      <c r="A219" s="11"/>
      <c r="B219" s="11"/>
      <c r="C219" s="11"/>
      <c r="D219" s="11"/>
      <c r="E219" s="18"/>
      <c r="F219" s="11" t="s">
        <v>1058</v>
      </c>
      <c r="G219" s="26">
        <v>1800</v>
      </c>
      <c r="H219" s="11" t="s">
        <v>1059</v>
      </c>
      <c r="I219" s="11"/>
      <c r="J219" s="28"/>
      <c r="K219" s="26" t="s">
        <v>228</v>
      </c>
      <c r="L219" s="26">
        <v>2</v>
      </c>
      <c r="M219" s="28"/>
      <c r="N219" s="28">
        <f>265446/1800</f>
        <v>147.47</v>
      </c>
      <c r="O219" s="28">
        <v>60</v>
      </c>
      <c r="P219" s="64">
        <f t="shared" si="35"/>
        <v>216000</v>
      </c>
      <c r="Q219" s="61"/>
      <c r="R219" s="38"/>
      <c r="S219" s="38"/>
      <c r="T219" s="38"/>
      <c r="U219" s="38"/>
    </row>
    <row r="220" ht="300" customHeight="1" spans="1:21">
      <c r="A220" s="11">
        <v>133</v>
      </c>
      <c r="B220" s="11" t="s">
        <v>1060</v>
      </c>
      <c r="C220" s="11" t="s">
        <v>1061</v>
      </c>
      <c r="D220" s="11" t="s">
        <v>1062</v>
      </c>
      <c r="E220" s="13" t="s">
        <v>154</v>
      </c>
      <c r="F220" s="11" t="s">
        <v>1063</v>
      </c>
      <c r="G220" s="26">
        <v>10</v>
      </c>
      <c r="H220" s="11" t="s">
        <v>257</v>
      </c>
      <c r="I220" s="11" t="s">
        <v>220</v>
      </c>
      <c r="J220" s="28">
        <v>12</v>
      </c>
      <c r="K220" s="26" t="s">
        <v>206</v>
      </c>
      <c r="L220" s="26">
        <f>(31-17+1)/31+6</f>
        <v>6.48387096774194</v>
      </c>
      <c r="M220" s="28">
        <f t="shared" ref="M220:M222" si="37">L220+J220</f>
        <v>18.4838709677419</v>
      </c>
      <c r="N220" s="28">
        <v>150</v>
      </c>
      <c r="O220" s="28">
        <v>60</v>
      </c>
      <c r="P220" s="64">
        <f t="shared" si="35"/>
        <v>3890.32258064516</v>
      </c>
      <c r="Q220" s="61">
        <v>3890</v>
      </c>
      <c r="R220" s="38" t="s">
        <v>439</v>
      </c>
      <c r="S220" s="38" t="s">
        <v>440</v>
      </c>
      <c r="T220" s="38" t="s">
        <v>439</v>
      </c>
      <c r="U220" s="38" t="str">
        <f t="shared" ref="U220:U223" si="38">"港澳处、律所、会所三方审核结论一致，符合给予租金补贴"&amp;Q220&amp;"元条件。"</f>
        <v>港澳处、律所、会所三方审核结论一致，符合给予租金补贴3890元条件。</v>
      </c>
    </row>
    <row r="221" ht="300" customHeight="1" spans="1:21">
      <c r="A221" s="11">
        <v>134</v>
      </c>
      <c r="B221" s="11" t="s">
        <v>127</v>
      </c>
      <c r="C221" s="11" t="s">
        <v>1064</v>
      </c>
      <c r="D221" s="11" t="s">
        <v>1065</v>
      </c>
      <c r="E221" s="13" t="s">
        <v>154</v>
      </c>
      <c r="F221" s="11" t="s">
        <v>1066</v>
      </c>
      <c r="G221" s="26">
        <v>580</v>
      </c>
      <c r="H221" s="11" t="s">
        <v>675</v>
      </c>
      <c r="I221" s="11" t="s">
        <v>157</v>
      </c>
      <c r="J221" s="28">
        <v>0</v>
      </c>
      <c r="K221" s="26" t="s">
        <v>1067</v>
      </c>
      <c r="L221" s="26">
        <v>18</v>
      </c>
      <c r="M221" s="28">
        <f t="shared" si="37"/>
        <v>18</v>
      </c>
      <c r="N221" s="28">
        <v>160</v>
      </c>
      <c r="O221" s="28">
        <v>60</v>
      </c>
      <c r="P221" s="64">
        <f>G221*12*60+G221*6*60</f>
        <v>626400</v>
      </c>
      <c r="Q221" s="61">
        <v>508800</v>
      </c>
      <c r="R221" s="38" t="s">
        <v>1068</v>
      </c>
      <c r="S221" s="38" t="s">
        <v>1069</v>
      </c>
      <c r="T221" s="38" t="s">
        <v>1068</v>
      </c>
      <c r="U221" s="38" t="str">
        <f t="shared" si="38"/>
        <v>港澳处、律所、会所三方审核结论一致，符合给予租金补贴508800元条件。</v>
      </c>
    </row>
    <row r="222" ht="300" customHeight="1" spans="1:21">
      <c r="A222" s="11">
        <v>135</v>
      </c>
      <c r="B222" s="11" t="s">
        <v>128</v>
      </c>
      <c r="C222" s="11" t="s">
        <v>1070</v>
      </c>
      <c r="D222" s="11" t="s">
        <v>1071</v>
      </c>
      <c r="E222" s="13" t="s">
        <v>154</v>
      </c>
      <c r="F222" s="11" t="s">
        <v>1072</v>
      </c>
      <c r="G222" s="26">
        <v>42.38</v>
      </c>
      <c r="H222" s="11" t="s">
        <v>613</v>
      </c>
      <c r="I222" s="11" t="s">
        <v>157</v>
      </c>
      <c r="J222" s="28">
        <v>0</v>
      </c>
      <c r="K222" s="26" t="s">
        <v>602</v>
      </c>
      <c r="L222" s="26">
        <v>6</v>
      </c>
      <c r="M222" s="28">
        <f t="shared" si="37"/>
        <v>6</v>
      </c>
      <c r="N222" s="28">
        <v>147.46</v>
      </c>
      <c r="O222" s="28">
        <v>60</v>
      </c>
      <c r="P222" s="64">
        <f t="shared" ref="P222:P224" si="39">G222*L222*60</f>
        <v>15256.8</v>
      </c>
      <c r="Q222" s="61">
        <v>15256</v>
      </c>
      <c r="R222" s="38" t="s">
        <v>1073</v>
      </c>
      <c r="S222" s="38" t="s">
        <v>1074</v>
      </c>
      <c r="T222" s="38" t="s">
        <v>1073</v>
      </c>
      <c r="U222" s="38" t="str">
        <f t="shared" si="38"/>
        <v>港澳处、律所、会所三方审核结论一致，符合给予租金补贴15256元条件。</v>
      </c>
    </row>
    <row r="223" ht="150" customHeight="1" spans="1:21">
      <c r="A223" s="11">
        <v>136</v>
      </c>
      <c r="B223" s="11" t="s">
        <v>129</v>
      </c>
      <c r="C223" s="11" t="s">
        <v>1075</v>
      </c>
      <c r="D223" s="11" t="s">
        <v>1076</v>
      </c>
      <c r="E223" s="17" t="s">
        <v>154</v>
      </c>
      <c r="F223" s="11" t="s">
        <v>1077</v>
      </c>
      <c r="G223" s="26">
        <v>8</v>
      </c>
      <c r="H223" s="11" t="s">
        <v>1078</v>
      </c>
      <c r="I223" s="11" t="s">
        <v>157</v>
      </c>
      <c r="J223" s="28">
        <v>0</v>
      </c>
      <c r="K223" s="26" t="s">
        <v>1079</v>
      </c>
      <c r="L223" s="26">
        <f>(31-17+1)/31+11</f>
        <v>11.4838709677419</v>
      </c>
      <c r="M223" s="28">
        <v>11.48</v>
      </c>
      <c r="N223" s="28">
        <f>1500/8</f>
        <v>187.5</v>
      </c>
      <c r="O223" s="28">
        <v>60</v>
      </c>
      <c r="P223" s="64">
        <f t="shared" si="39"/>
        <v>5512.25806451613</v>
      </c>
      <c r="Q223" s="61">
        <v>10912</v>
      </c>
      <c r="R223" s="38" t="s">
        <v>1080</v>
      </c>
      <c r="S223" s="38" t="s">
        <v>1081</v>
      </c>
      <c r="T223" s="38" t="s">
        <v>1080</v>
      </c>
      <c r="U223" s="38" t="str">
        <f t="shared" si="38"/>
        <v>港澳处、律所、会所三方审核结论一致，符合给予租金补贴10912元条件。</v>
      </c>
    </row>
    <row r="224" ht="150" customHeight="1" spans="1:21">
      <c r="A224" s="11"/>
      <c r="B224" s="11"/>
      <c r="C224" s="11"/>
      <c r="D224" s="11"/>
      <c r="E224" s="18"/>
      <c r="F224" s="11" t="s">
        <v>1082</v>
      </c>
      <c r="G224" s="26">
        <v>30</v>
      </c>
      <c r="H224" s="11" t="s">
        <v>272</v>
      </c>
      <c r="I224" s="11"/>
      <c r="J224" s="28"/>
      <c r="K224" s="26" t="s">
        <v>273</v>
      </c>
      <c r="L224" s="26">
        <v>3</v>
      </c>
      <c r="M224" s="28"/>
      <c r="N224" s="28">
        <v>147.46</v>
      </c>
      <c r="O224" s="28">
        <v>60</v>
      </c>
      <c r="P224" s="64">
        <f t="shared" si="39"/>
        <v>5400</v>
      </c>
      <c r="Q224" s="61"/>
      <c r="R224" s="38"/>
      <c r="S224" s="38"/>
      <c r="T224" s="38"/>
      <c r="U224" s="38"/>
    </row>
    <row r="225" s="3" customFormat="1" ht="150" customHeight="1" spans="1:21">
      <c r="A225" s="40">
        <v>137</v>
      </c>
      <c r="B225" s="21" t="s">
        <v>130</v>
      </c>
      <c r="C225" s="21" t="s">
        <v>1083</v>
      </c>
      <c r="D225" s="21" t="s">
        <v>1084</v>
      </c>
      <c r="E225" s="20" t="s">
        <v>154</v>
      </c>
      <c r="F225" s="40" t="s">
        <v>1085</v>
      </c>
      <c r="G225" s="47">
        <v>10</v>
      </c>
      <c r="H225" s="40" t="s">
        <v>1086</v>
      </c>
      <c r="I225" s="40" t="s">
        <v>1087</v>
      </c>
      <c r="J225" s="29">
        <v>0</v>
      </c>
      <c r="K225" s="68" t="s">
        <v>1088</v>
      </c>
      <c r="L225" s="26">
        <f>2+(31-8+1)/31</f>
        <v>2.7741935483871</v>
      </c>
      <c r="M225" s="47">
        <f>L225+L226</f>
        <v>3.01557285873192</v>
      </c>
      <c r="N225" s="26">
        <v>260</v>
      </c>
      <c r="O225" s="26">
        <v>60</v>
      </c>
      <c r="P225" s="64">
        <f>L225*G225*O225</f>
        <v>1664.51612903226</v>
      </c>
      <c r="Q225" s="71">
        <v>1809</v>
      </c>
      <c r="R225" s="51" t="s">
        <v>1089</v>
      </c>
      <c r="S225" s="51" t="s">
        <v>1090</v>
      </c>
      <c r="T225" s="51" t="s">
        <v>1089</v>
      </c>
      <c r="U225" s="51" t="str">
        <f>"港澳处、律所、会所三方审核结论一致，符合给予租金补贴"&amp;Q225&amp;"元条件。"</f>
        <v>港澳处、律所、会所三方审核结论一致，符合给予租金补贴1809元条件。</v>
      </c>
    </row>
    <row r="226" s="3" customFormat="1" ht="150" customHeight="1" spans="1:21">
      <c r="A226" s="42"/>
      <c r="B226" s="22"/>
      <c r="C226" s="22"/>
      <c r="D226" s="22"/>
      <c r="E226" s="18"/>
      <c r="F226" s="42"/>
      <c r="G226" s="48"/>
      <c r="H226" s="42"/>
      <c r="I226" s="42"/>
      <c r="J226" s="30"/>
      <c r="K226" s="27" t="s">
        <v>1091</v>
      </c>
      <c r="L226" s="26">
        <f>7/29</f>
        <v>0.241379310344828</v>
      </c>
      <c r="M226" s="48"/>
      <c r="N226" s="26">
        <v>260</v>
      </c>
      <c r="O226" s="26"/>
      <c r="P226" s="64">
        <f>G225*L226*O225</f>
        <v>144.827586206897</v>
      </c>
      <c r="Q226" s="72"/>
      <c r="R226" s="53"/>
      <c r="S226" s="53"/>
      <c r="T226" s="53"/>
      <c r="U226" s="53"/>
    </row>
    <row r="227" s="3" customFormat="1" ht="300" customHeight="1" spans="1:21">
      <c r="A227" s="11">
        <v>138</v>
      </c>
      <c r="B227" s="14" t="s">
        <v>131</v>
      </c>
      <c r="C227" s="14" t="s">
        <v>1092</v>
      </c>
      <c r="D227" s="14" t="s">
        <v>1093</v>
      </c>
      <c r="E227" s="18" t="s">
        <v>154</v>
      </c>
      <c r="F227" s="11" t="s">
        <v>1094</v>
      </c>
      <c r="G227" s="26">
        <v>210.28</v>
      </c>
      <c r="H227" s="11" t="s">
        <v>1095</v>
      </c>
      <c r="I227" s="11" t="s">
        <v>1096</v>
      </c>
      <c r="J227" s="28">
        <v>0</v>
      </c>
      <c r="K227" s="27" t="s">
        <v>1097</v>
      </c>
      <c r="L227" s="26">
        <v>13</v>
      </c>
      <c r="M227" s="28">
        <v>13</v>
      </c>
      <c r="N227" s="28">
        <f>21638/210.28</f>
        <v>102.900894046034</v>
      </c>
      <c r="O227" s="28">
        <f>N227*0.5</f>
        <v>51.4504470230169</v>
      </c>
      <c r="P227" s="64">
        <f>21638*13*0.5</f>
        <v>140647</v>
      </c>
      <c r="Q227" s="61">
        <f>21638*13*0.5</f>
        <v>140647</v>
      </c>
      <c r="R227" s="38" t="s">
        <v>1098</v>
      </c>
      <c r="S227" s="38" t="s">
        <v>1099</v>
      </c>
      <c r="T227" s="38" t="s">
        <v>1098</v>
      </c>
      <c r="U227" s="38" t="str">
        <f>"港澳处、律所、会所三方审核结论一致，符合给予租金补贴"&amp;Q227&amp;"元条件。"</f>
        <v>港澳处、律所、会所三方审核结论一致，符合给予租金补贴140647元条件。</v>
      </c>
    </row>
    <row r="228" ht="55.05" customHeight="1" spans="1:20">
      <c r="A228" s="11" t="s">
        <v>1100</v>
      </c>
      <c r="B228" s="11"/>
      <c r="C228" s="11"/>
      <c r="D228" s="11"/>
      <c r="E228" s="11"/>
      <c r="F228" s="11"/>
      <c r="G228" s="11"/>
      <c r="H228" s="11"/>
      <c r="I228" s="11"/>
      <c r="J228" s="11"/>
      <c r="K228" s="11"/>
      <c r="L228" s="11"/>
      <c r="M228" s="11"/>
      <c r="N228" s="11"/>
      <c r="O228" s="11"/>
      <c r="P228" s="11"/>
      <c r="Q228" s="37">
        <f>SUM(Q3:Q227)</f>
        <v>10242622</v>
      </c>
      <c r="R228" s="8"/>
      <c r="S228" s="8"/>
      <c r="T228" s="8"/>
    </row>
    <row r="229" s="4" customFormat="1" ht="80" customHeight="1" spans="1:30">
      <c r="A229" s="44" t="s">
        <v>1101</v>
      </c>
      <c r="B229" s="44"/>
      <c r="C229" s="44"/>
      <c r="D229" s="45"/>
      <c r="E229" s="45"/>
      <c r="F229" s="45"/>
      <c r="G229" s="45"/>
      <c r="H229" s="45"/>
      <c r="I229" s="45"/>
      <c r="J229" s="45"/>
      <c r="K229" s="45"/>
      <c r="L229" s="45"/>
      <c r="M229" s="49"/>
      <c r="N229" s="49"/>
      <c r="O229" s="49"/>
      <c r="P229" s="45"/>
      <c r="Q229" s="49"/>
      <c r="R229" s="54"/>
      <c r="S229" s="54"/>
      <c r="T229" s="54"/>
      <c r="U229" s="54"/>
      <c r="V229" s="49"/>
      <c r="W229" s="54"/>
      <c r="X229" s="54"/>
      <c r="Y229" s="54"/>
      <c r="Z229" s="54"/>
      <c r="AA229" s="54"/>
      <c r="AB229" s="55"/>
      <c r="AC229" s="55"/>
      <c r="AD229" s="56"/>
    </row>
    <row r="230" s="4" customFormat="1" ht="80" customHeight="1" spans="1:30">
      <c r="A230" s="44" t="s">
        <v>1102</v>
      </c>
      <c r="B230" s="46"/>
      <c r="C230" s="45"/>
      <c r="D230" s="45"/>
      <c r="E230" s="45"/>
      <c r="F230" s="45"/>
      <c r="G230" s="45"/>
      <c r="H230" s="45"/>
      <c r="I230" s="45"/>
      <c r="J230" s="45"/>
      <c r="K230" s="45"/>
      <c r="L230" s="45"/>
      <c r="M230" s="49"/>
      <c r="N230" s="49"/>
      <c r="O230" s="49"/>
      <c r="P230" s="45"/>
      <c r="Q230" s="49"/>
      <c r="R230" s="54"/>
      <c r="S230" s="54"/>
      <c r="T230" s="54"/>
      <c r="U230" s="54"/>
      <c r="V230" s="49"/>
      <c r="W230" s="54"/>
      <c r="X230" s="54"/>
      <c r="Y230" s="54"/>
      <c r="Z230" s="54"/>
      <c r="AA230" s="54"/>
      <c r="AB230" s="55"/>
      <c r="AC230" s="55"/>
      <c r="AD230" s="56"/>
    </row>
    <row r="231" s="4" customFormat="1" ht="80" customHeight="1" spans="1:30">
      <c r="A231" s="44" t="s">
        <v>1103</v>
      </c>
      <c r="B231" s="46"/>
      <c r="C231" s="45"/>
      <c r="D231" s="45"/>
      <c r="E231" s="45"/>
      <c r="F231" s="45"/>
      <c r="G231" s="45"/>
      <c r="H231" s="45"/>
      <c r="I231" s="45"/>
      <c r="J231" s="45"/>
      <c r="K231" s="45"/>
      <c r="L231" s="45"/>
      <c r="M231" s="49"/>
      <c r="N231" s="49"/>
      <c r="O231" s="49"/>
      <c r="P231" s="45"/>
      <c r="Q231" s="49"/>
      <c r="R231" s="54"/>
      <c r="S231" s="54"/>
      <c r="T231" s="54"/>
      <c r="U231" s="54"/>
      <c r="V231" s="49"/>
      <c r="W231" s="54"/>
      <c r="X231" s="54"/>
      <c r="Y231" s="54"/>
      <c r="Z231" s="54"/>
      <c r="AA231" s="54"/>
      <c r="AB231" s="55"/>
      <c r="AC231" s="55"/>
      <c r="AD231" s="56"/>
    </row>
    <row r="244" spans="2:2">
      <c r="B244" s="57"/>
    </row>
    <row r="245" spans="2:2">
      <c r="B245" s="57"/>
    </row>
    <row r="246" spans="2:2">
      <c r="B246" s="57"/>
    </row>
    <row r="247" spans="2:2">
      <c r="B247" s="57"/>
    </row>
    <row r="248" spans="2:2">
      <c r="B248" s="57"/>
    </row>
    <row r="249" spans="2:2">
      <c r="B249" s="57"/>
    </row>
    <row r="250" spans="2:2">
      <c r="B250" s="57"/>
    </row>
  </sheetData>
  <autoFilter ref="A2:AD231">
    <extLst/>
  </autoFilter>
  <mergeCells count="750">
    <mergeCell ref="A1:U1"/>
    <mergeCell ref="A229:C229"/>
    <mergeCell ref="A230:B230"/>
    <mergeCell ref="A231:B231"/>
    <mergeCell ref="A4:A5"/>
    <mergeCell ref="A7:A8"/>
    <mergeCell ref="A10:A11"/>
    <mergeCell ref="A12:A13"/>
    <mergeCell ref="A14:A16"/>
    <mergeCell ref="A18:A19"/>
    <mergeCell ref="A20:A21"/>
    <mergeCell ref="A23:A26"/>
    <mergeCell ref="A32:A39"/>
    <mergeCell ref="A41:A42"/>
    <mergeCell ref="A45:A47"/>
    <mergeCell ref="A50:A51"/>
    <mergeCell ref="A52:A55"/>
    <mergeCell ref="A61:A62"/>
    <mergeCell ref="A64:A68"/>
    <mergeCell ref="A70:A72"/>
    <mergeCell ref="A73:A75"/>
    <mergeCell ref="A76:A79"/>
    <mergeCell ref="A80:A81"/>
    <mergeCell ref="A85:A88"/>
    <mergeCell ref="A91:A92"/>
    <mergeCell ref="A95:A96"/>
    <mergeCell ref="A97:A99"/>
    <mergeCell ref="A100:A102"/>
    <mergeCell ref="A104:A106"/>
    <mergeCell ref="A107:A108"/>
    <mergeCell ref="A109:A111"/>
    <mergeCell ref="A112:A114"/>
    <mergeCell ref="A115:A116"/>
    <mergeCell ref="A120:A121"/>
    <mergeCell ref="A123:A124"/>
    <mergeCell ref="A125:A128"/>
    <mergeCell ref="A129:A130"/>
    <mergeCell ref="A135:A136"/>
    <mergeCell ref="A139:A140"/>
    <mergeCell ref="A146:A148"/>
    <mergeCell ref="A149:A151"/>
    <mergeCell ref="A153:A154"/>
    <mergeCell ref="A155:A156"/>
    <mergeCell ref="A160:A161"/>
    <mergeCell ref="A164:A167"/>
    <mergeCell ref="A169:A172"/>
    <mergeCell ref="A173:A174"/>
    <mergeCell ref="A176:A177"/>
    <mergeCell ref="A179:A181"/>
    <mergeCell ref="A182:A183"/>
    <mergeCell ref="A184:A185"/>
    <mergeCell ref="A192:A193"/>
    <mergeCell ref="A194:A195"/>
    <mergeCell ref="A197:A198"/>
    <mergeCell ref="A199:A202"/>
    <mergeCell ref="A205:A206"/>
    <mergeCell ref="A207:A208"/>
    <mergeCell ref="A210:A211"/>
    <mergeCell ref="A218:A219"/>
    <mergeCell ref="A223:A224"/>
    <mergeCell ref="A225:A226"/>
    <mergeCell ref="B4:B5"/>
    <mergeCell ref="B7:B8"/>
    <mergeCell ref="B10:B11"/>
    <mergeCell ref="B12:B13"/>
    <mergeCell ref="B14:B16"/>
    <mergeCell ref="B18:B19"/>
    <mergeCell ref="B20:B21"/>
    <mergeCell ref="B23:B26"/>
    <mergeCell ref="B32:B39"/>
    <mergeCell ref="B41:B42"/>
    <mergeCell ref="B45:B47"/>
    <mergeCell ref="B50:B51"/>
    <mergeCell ref="B52:B55"/>
    <mergeCell ref="B61:B62"/>
    <mergeCell ref="B64:B68"/>
    <mergeCell ref="B70:B72"/>
    <mergeCell ref="B73:B75"/>
    <mergeCell ref="B76:B79"/>
    <mergeCell ref="B80:B81"/>
    <mergeCell ref="B85:B88"/>
    <mergeCell ref="B91:B92"/>
    <mergeCell ref="B95:B96"/>
    <mergeCell ref="B97:B99"/>
    <mergeCell ref="B100:B102"/>
    <mergeCell ref="B104:B106"/>
    <mergeCell ref="B107:B108"/>
    <mergeCell ref="B109:B111"/>
    <mergeCell ref="B112:B114"/>
    <mergeCell ref="B115:B116"/>
    <mergeCell ref="B120:B121"/>
    <mergeCell ref="B123:B124"/>
    <mergeCell ref="B125:B128"/>
    <mergeCell ref="B129:B130"/>
    <mergeCell ref="B135:B136"/>
    <mergeCell ref="B139:B140"/>
    <mergeCell ref="B146:B148"/>
    <mergeCell ref="B149:B151"/>
    <mergeCell ref="B153:B154"/>
    <mergeCell ref="B155:B156"/>
    <mergeCell ref="B160:B161"/>
    <mergeCell ref="B164:B167"/>
    <mergeCell ref="B169:B172"/>
    <mergeCell ref="B173:B174"/>
    <mergeCell ref="B176:B177"/>
    <mergeCell ref="B179:B181"/>
    <mergeCell ref="B182:B183"/>
    <mergeCell ref="B184:B185"/>
    <mergeCell ref="B192:B193"/>
    <mergeCell ref="B194:B195"/>
    <mergeCell ref="B197:B198"/>
    <mergeCell ref="B199:B202"/>
    <mergeCell ref="B205:B206"/>
    <mergeCell ref="B207:B208"/>
    <mergeCell ref="B210:B211"/>
    <mergeCell ref="B218:B219"/>
    <mergeCell ref="B223:B224"/>
    <mergeCell ref="B225:B226"/>
    <mergeCell ref="C4:C5"/>
    <mergeCell ref="C7:C8"/>
    <mergeCell ref="C10:C11"/>
    <mergeCell ref="C12:C13"/>
    <mergeCell ref="C14:C16"/>
    <mergeCell ref="C18:C19"/>
    <mergeCell ref="C20:C21"/>
    <mergeCell ref="C23:C26"/>
    <mergeCell ref="C32:C39"/>
    <mergeCell ref="C41:C42"/>
    <mergeCell ref="C45:C47"/>
    <mergeCell ref="C50:C51"/>
    <mergeCell ref="C52:C55"/>
    <mergeCell ref="C61:C62"/>
    <mergeCell ref="C64:C68"/>
    <mergeCell ref="C70:C72"/>
    <mergeCell ref="C73:C75"/>
    <mergeCell ref="C76:C79"/>
    <mergeCell ref="C80:C81"/>
    <mergeCell ref="C85:C88"/>
    <mergeCell ref="C91:C92"/>
    <mergeCell ref="C95:C96"/>
    <mergeCell ref="C97:C99"/>
    <mergeCell ref="C100:C102"/>
    <mergeCell ref="C104:C106"/>
    <mergeCell ref="C107:C108"/>
    <mergeCell ref="C109:C111"/>
    <mergeCell ref="C112:C114"/>
    <mergeCell ref="C115:C116"/>
    <mergeCell ref="C120:C121"/>
    <mergeCell ref="C123:C124"/>
    <mergeCell ref="C125:C128"/>
    <mergeCell ref="C129:C130"/>
    <mergeCell ref="C135:C136"/>
    <mergeCell ref="C139:C140"/>
    <mergeCell ref="C146:C148"/>
    <mergeCell ref="C149:C151"/>
    <mergeCell ref="C153:C154"/>
    <mergeCell ref="C155:C156"/>
    <mergeCell ref="C160:C161"/>
    <mergeCell ref="C164:C167"/>
    <mergeCell ref="C169:C172"/>
    <mergeCell ref="C173:C174"/>
    <mergeCell ref="C176:C177"/>
    <mergeCell ref="C179:C181"/>
    <mergeCell ref="C182:C183"/>
    <mergeCell ref="C184:C185"/>
    <mergeCell ref="C192:C193"/>
    <mergeCell ref="C194:C195"/>
    <mergeCell ref="C197:C198"/>
    <mergeCell ref="C199:C202"/>
    <mergeCell ref="C205:C206"/>
    <mergeCell ref="C207:C208"/>
    <mergeCell ref="C210:C211"/>
    <mergeCell ref="C218:C219"/>
    <mergeCell ref="C223:C224"/>
    <mergeCell ref="C225:C226"/>
    <mergeCell ref="D4:D5"/>
    <mergeCell ref="D7:D8"/>
    <mergeCell ref="D10:D11"/>
    <mergeCell ref="D12:D13"/>
    <mergeCell ref="D14:D16"/>
    <mergeCell ref="D18:D19"/>
    <mergeCell ref="D20:D21"/>
    <mergeCell ref="D23:D26"/>
    <mergeCell ref="D32:D39"/>
    <mergeCell ref="D41:D42"/>
    <mergeCell ref="D45:D47"/>
    <mergeCell ref="D50:D51"/>
    <mergeCell ref="D52:D55"/>
    <mergeCell ref="D61:D62"/>
    <mergeCell ref="D64:D68"/>
    <mergeCell ref="D70:D72"/>
    <mergeCell ref="D73:D75"/>
    <mergeCell ref="D76:D79"/>
    <mergeCell ref="D80:D81"/>
    <mergeCell ref="D85:D88"/>
    <mergeCell ref="D91:D92"/>
    <mergeCell ref="D95:D96"/>
    <mergeCell ref="D97:D99"/>
    <mergeCell ref="D100:D102"/>
    <mergeCell ref="D104:D106"/>
    <mergeCell ref="D107:D108"/>
    <mergeCell ref="D109:D111"/>
    <mergeCell ref="D112:D114"/>
    <mergeCell ref="D115:D116"/>
    <mergeCell ref="D120:D121"/>
    <mergeCell ref="D123:D124"/>
    <mergeCell ref="D125:D128"/>
    <mergeCell ref="D129:D130"/>
    <mergeCell ref="D135:D136"/>
    <mergeCell ref="D139:D140"/>
    <mergeCell ref="D146:D148"/>
    <mergeCell ref="D149:D151"/>
    <mergeCell ref="D153:D154"/>
    <mergeCell ref="D155:D156"/>
    <mergeCell ref="D160:D161"/>
    <mergeCell ref="D164:D167"/>
    <mergeCell ref="D169:D172"/>
    <mergeCell ref="D173:D174"/>
    <mergeCell ref="D176:D177"/>
    <mergeCell ref="D179:D181"/>
    <mergeCell ref="D182:D183"/>
    <mergeCell ref="D184:D185"/>
    <mergeCell ref="D192:D193"/>
    <mergeCell ref="D194:D195"/>
    <mergeCell ref="D197:D198"/>
    <mergeCell ref="D199:D202"/>
    <mergeCell ref="D205:D206"/>
    <mergeCell ref="D207:D208"/>
    <mergeCell ref="D210:D211"/>
    <mergeCell ref="D218:D219"/>
    <mergeCell ref="D223:D224"/>
    <mergeCell ref="D225:D226"/>
    <mergeCell ref="E4:E5"/>
    <mergeCell ref="E7:E8"/>
    <mergeCell ref="E10:E11"/>
    <mergeCell ref="E12:E13"/>
    <mergeCell ref="E14:E16"/>
    <mergeCell ref="E18:E19"/>
    <mergeCell ref="E20:E21"/>
    <mergeCell ref="E23:E26"/>
    <mergeCell ref="E32:E39"/>
    <mergeCell ref="E41:E42"/>
    <mergeCell ref="E45:E47"/>
    <mergeCell ref="E50:E51"/>
    <mergeCell ref="E52:E55"/>
    <mergeCell ref="E61:E62"/>
    <mergeCell ref="E64:E68"/>
    <mergeCell ref="E70:E72"/>
    <mergeCell ref="E73:E75"/>
    <mergeCell ref="E76:E79"/>
    <mergeCell ref="E80:E81"/>
    <mergeCell ref="E85:E88"/>
    <mergeCell ref="E91:E92"/>
    <mergeCell ref="E95:E96"/>
    <mergeCell ref="E97:E99"/>
    <mergeCell ref="E100:E102"/>
    <mergeCell ref="E104:E106"/>
    <mergeCell ref="E107:E108"/>
    <mergeCell ref="E109:E111"/>
    <mergeCell ref="E112:E114"/>
    <mergeCell ref="E115:E116"/>
    <mergeCell ref="E120:E121"/>
    <mergeCell ref="E123:E124"/>
    <mergeCell ref="E125:E128"/>
    <mergeCell ref="E129:E130"/>
    <mergeCell ref="E135:E136"/>
    <mergeCell ref="E139:E140"/>
    <mergeCell ref="E146:E148"/>
    <mergeCell ref="E149:E151"/>
    <mergeCell ref="E153:E154"/>
    <mergeCell ref="E155:E156"/>
    <mergeCell ref="E160:E161"/>
    <mergeCell ref="E164:E167"/>
    <mergeCell ref="E169:E172"/>
    <mergeCell ref="E173:E174"/>
    <mergeCell ref="E176:E177"/>
    <mergeCell ref="E179:E181"/>
    <mergeCell ref="E182:E183"/>
    <mergeCell ref="E184:E185"/>
    <mergeCell ref="E192:E193"/>
    <mergeCell ref="E194:E195"/>
    <mergeCell ref="E197:E198"/>
    <mergeCell ref="E199:E202"/>
    <mergeCell ref="E205:E206"/>
    <mergeCell ref="E207:E208"/>
    <mergeCell ref="E210:E211"/>
    <mergeCell ref="E218:E219"/>
    <mergeCell ref="E223:E224"/>
    <mergeCell ref="E225:E226"/>
    <mergeCell ref="F135:F136"/>
    <mergeCell ref="F192:F193"/>
    <mergeCell ref="F225:F226"/>
    <mergeCell ref="G225:G226"/>
    <mergeCell ref="H225:H226"/>
    <mergeCell ref="I4:I5"/>
    <mergeCell ref="I7:I8"/>
    <mergeCell ref="I10:I11"/>
    <mergeCell ref="I12:I13"/>
    <mergeCell ref="I14:I16"/>
    <mergeCell ref="I18:I19"/>
    <mergeCell ref="I20:I21"/>
    <mergeCell ref="I23:I26"/>
    <mergeCell ref="I32:I39"/>
    <mergeCell ref="I41:I42"/>
    <mergeCell ref="I45:I47"/>
    <mergeCell ref="I50:I51"/>
    <mergeCell ref="I52:I55"/>
    <mergeCell ref="I61:I62"/>
    <mergeCell ref="I64:I68"/>
    <mergeCell ref="I70:I72"/>
    <mergeCell ref="I73:I75"/>
    <mergeCell ref="I76:I79"/>
    <mergeCell ref="I80:I81"/>
    <mergeCell ref="I85:I88"/>
    <mergeCell ref="I91:I92"/>
    <mergeCell ref="I95:I96"/>
    <mergeCell ref="I97:I99"/>
    <mergeCell ref="I100:I102"/>
    <mergeCell ref="I104:I106"/>
    <mergeCell ref="I107:I108"/>
    <mergeCell ref="I109:I111"/>
    <mergeCell ref="I112:I114"/>
    <mergeCell ref="I115:I116"/>
    <mergeCell ref="I120:I121"/>
    <mergeCell ref="I123:I124"/>
    <mergeCell ref="I125:I128"/>
    <mergeCell ref="I129:I130"/>
    <mergeCell ref="I135:I136"/>
    <mergeCell ref="I139:I140"/>
    <mergeCell ref="I146:I148"/>
    <mergeCell ref="I149:I151"/>
    <mergeCell ref="I153:I154"/>
    <mergeCell ref="I155:I156"/>
    <mergeCell ref="I160:I161"/>
    <mergeCell ref="I164:I167"/>
    <mergeCell ref="I169:I172"/>
    <mergeCell ref="I173:I174"/>
    <mergeCell ref="I176:I177"/>
    <mergeCell ref="I179:I181"/>
    <mergeCell ref="I182:I183"/>
    <mergeCell ref="I184:I185"/>
    <mergeCell ref="I192:I193"/>
    <mergeCell ref="I194:I195"/>
    <mergeCell ref="I197:I198"/>
    <mergeCell ref="I199:I202"/>
    <mergeCell ref="I205:I206"/>
    <mergeCell ref="I207:I208"/>
    <mergeCell ref="I210:I211"/>
    <mergeCell ref="I218:I219"/>
    <mergeCell ref="I223:I224"/>
    <mergeCell ref="I225:I226"/>
    <mergeCell ref="J4:J5"/>
    <mergeCell ref="J7:J8"/>
    <mergeCell ref="J10:J11"/>
    <mergeCell ref="J12:J13"/>
    <mergeCell ref="J14:J16"/>
    <mergeCell ref="J18:J19"/>
    <mergeCell ref="J23:J26"/>
    <mergeCell ref="J32:J39"/>
    <mergeCell ref="J41:J42"/>
    <mergeCell ref="J45:J47"/>
    <mergeCell ref="J50:J51"/>
    <mergeCell ref="J52:J55"/>
    <mergeCell ref="J61:J62"/>
    <mergeCell ref="J64:J68"/>
    <mergeCell ref="J70:J72"/>
    <mergeCell ref="J73:J75"/>
    <mergeCell ref="J76:J79"/>
    <mergeCell ref="J80:J81"/>
    <mergeCell ref="J85:J88"/>
    <mergeCell ref="J91:J92"/>
    <mergeCell ref="J95:J96"/>
    <mergeCell ref="J97:J99"/>
    <mergeCell ref="J100:J102"/>
    <mergeCell ref="J104:J106"/>
    <mergeCell ref="J107:J108"/>
    <mergeCell ref="J109:J111"/>
    <mergeCell ref="J112:J114"/>
    <mergeCell ref="J115:J116"/>
    <mergeCell ref="J120:J121"/>
    <mergeCell ref="J123:J124"/>
    <mergeCell ref="J125:J128"/>
    <mergeCell ref="J129:J130"/>
    <mergeCell ref="J135:J136"/>
    <mergeCell ref="J139:J140"/>
    <mergeCell ref="J146:J148"/>
    <mergeCell ref="J149:J151"/>
    <mergeCell ref="J153:J154"/>
    <mergeCell ref="J155:J156"/>
    <mergeCell ref="J160:J161"/>
    <mergeCell ref="J164:J167"/>
    <mergeCell ref="J169:J172"/>
    <mergeCell ref="J173:J174"/>
    <mergeCell ref="J176:J177"/>
    <mergeCell ref="J179:J181"/>
    <mergeCell ref="J182:J183"/>
    <mergeCell ref="J192:J193"/>
    <mergeCell ref="J194:J195"/>
    <mergeCell ref="J197:J198"/>
    <mergeCell ref="J199:J202"/>
    <mergeCell ref="J205:J206"/>
    <mergeCell ref="J207:J208"/>
    <mergeCell ref="J210:J211"/>
    <mergeCell ref="J218:J219"/>
    <mergeCell ref="J223:J224"/>
    <mergeCell ref="J225:J226"/>
    <mergeCell ref="M4:M5"/>
    <mergeCell ref="M7:M8"/>
    <mergeCell ref="M10:M11"/>
    <mergeCell ref="M12:M13"/>
    <mergeCell ref="M14:M16"/>
    <mergeCell ref="M18:M19"/>
    <mergeCell ref="M20:M21"/>
    <mergeCell ref="M23:M26"/>
    <mergeCell ref="M32:M39"/>
    <mergeCell ref="M41:M42"/>
    <mergeCell ref="M45:M47"/>
    <mergeCell ref="M50:M51"/>
    <mergeCell ref="M52:M55"/>
    <mergeCell ref="M61:M62"/>
    <mergeCell ref="M64:M68"/>
    <mergeCell ref="M70:M72"/>
    <mergeCell ref="M73:M75"/>
    <mergeCell ref="M76:M79"/>
    <mergeCell ref="M80:M81"/>
    <mergeCell ref="M85:M88"/>
    <mergeCell ref="M91:M92"/>
    <mergeCell ref="M95:M96"/>
    <mergeCell ref="M97:M99"/>
    <mergeCell ref="M100:M102"/>
    <mergeCell ref="M104:M106"/>
    <mergeCell ref="M107:M108"/>
    <mergeCell ref="M109:M111"/>
    <mergeCell ref="M112:M114"/>
    <mergeCell ref="M115:M116"/>
    <mergeCell ref="M120:M121"/>
    <mergeCell ref="M123:M124"/>
    <mergeCell ref="M125:M128"/>
    <mergeCell ref="M129:M130"/>
    <mergeCell ref="M135:M136"/>
    <mergeCell ref="M139:M140"/>
    <mergeCell ref="M146:M148"/>
    <mergeCell ref="M149:M151"/>
    <mergeCell ref="M153:M154"/>
    <mergeCell ref="M155:M156"/>
    <mergeCell ref="M160:M161"/>
    <mergeCell ref="M164:M167"/>
    <mergeCell ref="M169:M172"/>
    <mergeCell ref="M173:M174"/>
    <mergeCell ref="M176:M177"/>
    <mergeCell ref="M179:M181"/>
    <mergeCell ref="M182:M183"/>
    <mergeCell ref="M184:M185"/>
    <mergeCell ref="M192:M193"/>
    <mergeCell ref="M194:M195"/>
    <mergeCell ref="M197:M198"/>
    <mergeCell ref="M199:M202"/>
    <mergeCell ref="M205:M206"/>
    <mergeCell ref="M207:M208"/>
    <mergeCell ref="M210:M211"/>
    <mergeCell ref="M218:M219"/>
    <mergeCell ref="M223:M224"/>
    <mergeCell ref="M225:M226"/>
    <mergeCell ref="O129:O130"/>
    <mergeCell ref="O225:O226"/>
    <mergeCell ref="Q4:Q5"/>
    <mergeCell ref="Q7:Q8"/>
    <mergeCell ref="Q10:Q11"/>
    <mergeCell ref="Q12:Q13"/>
    <mergeCell ref="Q14:Q16"/>
    <mergeCell ref="Q18:Q19"/>
    <mergeCell ref="Q20:Q21"/>
    <mergeCell ref="Q23:Q26"/>
    <mergeCell ref="Q32:Q39"/>
    <mergeCell ref="Q41:Q42"/>
    <mergeCell ref="Q45:Q47"/>
    <mergeCell ref="Q50:Q51"/>
    <mergeCell ref="Q52:Q55"/>
    <mergeCell ref="Q61:Q62"/>
    <mergeCell ref="Q64:Q68"/>
    <mergeCell ref="Q70:Q72"/>
    <mergeCell ref="Q73:Q75"/>
    <mergeCell ref="Q76:Q79"/>
    <mergeCell ref="Q80:Q81"/>
    <mergeCell ref="Q85:Q88"/>
    <mergeCell ref="Q91:Q92"/>
    <mergeCell ref="Q95:Q96"/>
    <mergeCell ref="Q97:Q99"/>
    <mergeCell ref="Q100:Q102"/>
    <mergeCell ref="Q104:Q106"/>
    <mergeCell ref="Q107:Q108"/>
    <mergeCell ref="Q109:Q111"/>
    <mergeCell ref="Q112:Q114"/>
    <mergeCell ref="Q115:Q116"/>
    <mergeCell ref="Q120:Q121"/>
    <mergeCell ref="Q123:Q124"/>
    <mergeCell ref="Q125:Q128"/>
    <mergeCell ref="Q129:Q130"/>
    <mergeCell ref="Q135:Q136"/>
    <mergeCell ref="Q139:Q140"/>
    <mergeCell ref="Q146:Q148"/>
    <mergeCell ref="Q149:Q151"/>
    <mergeCell ref="Q153:Q154"/>
    <mergeCell ref="Q155:Q156"/>
    <mergeCell ref="Q160:Q161"/>
    <mergeCell ref="Q164:Q167"/>
    <mergeCell ref="Q169:Q172"/>
    <mergeCell ref="Q173:Q174"/>
    <mergeCell ref="Q176:Q177"/>
    <mergeCell ref="Q179:Q181"/>
    <mergeCell ref="Q182:Q183"/>
    <mergeCell ref="Q184:Q185"/>
    <mergeCell ref="Q192:Q193"/>
    <mergeCell ref="Q194:Q195"/>
    <mergeCell ref="Q197:Q198"/>
    <mergeCell ref="Q199:Q202"/>
    <mergeCell ref="Q205:Q206"/>
    <mergeCell ref="Q207:Q208"/>
    <mergeCell ref="Q210:Q211"/>
    <mergeCell ref="Q218:Q219"/>
    <mergeCell ref="Q223:Q224"/>
    <mergeCell ref="Q225:Q226"/>
    <mergeCell ref="R4:R5"/>
    <mergeCell ref="R7:R8"/>
    <mergeCell ref="R10:R11"/>
    <mergeCell ref="R12:R13"/>
    <mergeCell ref="R14:R16"/>
    <mergeCell ref="R18:R19"/>
    <mergeCell ref="R20:R21"/>
    <mergeCell ref="R23:R26"/>
    <mergeCell ref="R32:R39"/>
    <mergeCell ref="R41:R42"/>
    <mergeCell ref="R45:R47"/>
    <mergeCell ref="R50:R51"/>
    <mergeCell ref="R52:R55"/>
    <mergeCell ref="R61:R62"/>
    <mergeCell ref="R64:R68"/>
    <mergeCell ref="R70:R72"/>
    <mergeCell ref="R73:R75"/>
    <mergeCell ref="R76:R79"/>
    <mergeCell ref="R80:R81"/>
    <mergeCell ref="R85:R88"/>
    <mergeCell ref="R91:R92"/>
    <mergeCell ref="R95:R96"/>
    <mergeCell ref="R97:R99"/>
    <mergeCell ref="R100:R102"/>
    <mergeCell ref="R104:R106"/>
    <mergeCell ref="R107:R108"/>
    <mergeCell ref="R109:R111"/>
    <mergeCell ref="R112:R114"/>
    <mergeCell ref="R115:R116"/>
    <mergeCell ref="R120:R121"/>
    <mergeCell ref="R123:R124"/>
    <mergeCell ref="R125:R128"/>
    <mergeCell ref="R129:R130"/>
    <mergeCell ref="R135:R136"/>
    <mergeCell ref="R139:R140"/>
    <mergeCell ref="R146:R148"/>
    <mergeCell ref="R149:R151"/>
    <mergeCell ref="R153:R154"/>
    <mergeCell ref="R155:R156"/>
    <mergeCell ref="R160:R161"/>
    <mergeCell ref="R164:R167"/>
    <mergeCell ref="R169:R172"/>
    <mergeCell ref="R173:R174"/>
    <mergeCell ref="R176:R177"/>
    <mergeCell ref="R179:R181"/>
    <mergeCell ref="R182:R183"/>
    <mergeCell ref="R184:R185"/>
    <mergeCell ref="R192:R193"/>
    <mergeCell ref="R194:R195"/>
    <mergeCell ref="R197:R198"/>
    <mergeCell ref="R199:R202"/>
    <mergeCell ref="R205:R206"/>
    <mergeCell ref="R207:R208"/>
    <mergeCell ref="R210:R211"/>
    <mergeCell ref="R218:R219"/>
    <mergeCell ref="R223:R224"/>
    <mergeCell ref="R225:R226"/>
    <mergeCell ref="S4:S5"/>
    <mergeCell ref="S7:S8"/>
    <mergeCell ref="S10:S11"/>
    <mergeCell ref="S12:S13"/>
    <mergeCell ref="S14:S16"/>
    <mergeCell ref="S18:S19"/>
    <mergeCell ref="S20:S21"/>
    <mergeCell ref="S23:S26"/>
    <mergeCell ref="S32:S39"/>
    <mergeCell ref="S41:S42"/>
    <mergeCell ref="S45:S47"/>
    <mergeCell ref="S50:S51"/>
    <mergeCell ref="S52:S55"/>
    <mergeCell ref="S61:S62"/>
    <mergeCell ref="S64:S68"/>
    <mergeCell ref="S70:S72"/>
    <mergeCell ref="S73:S75"/>
    <mergeCell ref="S76:S79"/>
    <mergeCell ref="S80:S81"/>
    <mergeCell ref="S85:S88"/>
    <mergeCell ref="S91:S92"/>
    <mergeCell ref="S95:S96"/>
    <mergeCell ref="S97:S99"/>
    <mergeCell ref="S100:S102"/>
    <mergeCell ref="S104:S106"/>
    <mergeCell ref="S107:S108"/>
    <mergeCell ref="S109:S111"/>
    <mergeCell ref="S112:S114"/>
    <mergeCell ref="S115:S116"/>
    <mergeCell ref="S120:S121"/>
    <mergeCell ref="S123:S124"/>
    <mergeCell ref="S125:S128"/>
    <mergeCell ref="S129:S130"/>
    <mergeCell ref="S135:S136"/>
    <mergeCell ref="S139:S140"/>
    <mergeCell ref="S146:S148"/>
    <mergeCell ref="S149:S151"/>
    <mergeCell ref="S153:S154"/>
    <mergeCell ref="S155:S156"/>
    <mergeCell ref="S160:S161"/>
    <mergeCell ref="S164:S167"/>
    <mergeCell ref="S169:S172"/>
    <mergeCell ref="S173:S174"/>
    <mergeCell ref="S176:S177"/>
    <mergeCell ref="S179:S181"/>
    <mergeCell ref="S182:S183"/>
    <mergeCell ref="S184:S185"/>
    <mergeCell ref="S192:S193"/>
    <mergeCell ref="S194:S195"/>
    <mergeCell ref="S197:S198"/>
    <mergeCell ref="S199:S202"/>
    <mergeCell ref="S205:S206"/>
    <mergeCell ref="S207:S208"/>
    <mergeCell ref="S210:S211"/>
    <mergeCell ref="S218:S219"/>
    <mergeCell ref="S223:S224"/>
    <mergeCell ref="S225:S226"/>
    <mergeCell ref="T4:T5"/>
    <mergeCell ref="T7:T8"/>
    <mergeCell ref="T10:T11"/>
    <mergeCell ref="T12:T13"/>
    <mergeCell ref="T14:T16"/>
    <mergeCell ref="T18:T19"/>
    <mergeCell ref="T20:T21"/>
    <mergeCell ref="T23:T26"/>
    <mergeCell ref="T32:T39"/>
    <mergeCell ref="T41:T42"/>
    <mergeCell ref="T45:T47"/>
    <mergeCell ref="T50:T51"/>
    <mergeCell ref="T52:T55"/>
    <mergeCell ref="T61:T62"/>
    <mergeCell ref="T64:T68"/>
    <mergeCell ref="T70:T72"/>
    <mergeCell ref="T73:T75"/>
    <mergeCell ref="T76:T79"/>
    <mergeCell ref="T80:T81"/>
    <mergeCell ref="T85:T88"/>
    <mergeCell ref="T91:T92"/>
    <mergeCell ref="T95:T96"/>
    <mergeCell ref="T97:T99"/>
    <mergeCell ref="T100:T102"/>
    <mergeCell ref="T104:T106"/>
    <mergeCell ref="T107:T108"/>
    <mergeCell ref="T109:T111"/>
    <mergeCell ref="T112:T114"/>
    <mergeCell ref="T115:T116"/>
    <mergeCell ref="T120:T121"/>
    <mergeCell ref="T123:T124"/>
    <mergeCell ref="T125:T128"/>
    <mergeCell ref="T129:T130"/>
    <mergeCell ref="T135:T136"/>
    <mergeCell ref="T139:T140"/>
    <mergeCell ref="T146:T148"/>
    <mergeCell ref="T149:T151"/>
    <mergeCell ref="T153:T154"/>
    <mergeCell ref="T155:T156"/>
    <mergeCell ref="T160:T161"/>
    <mergeCell ref="T164:T167"/>
    <mergeCell ref="T169:T172"/>
    <mergeCell ref="T173:T174"/>
    <mergeCell ref="T176:T177"/>
    <mergeCell ref="T179:T181"/>
    <mergeCell ref="T182:T183"/>
    <mergeCell ref="T184:T185"/>
    <mergeCell ref="T192:T193"/>
    <mergeCell ref="T194:T195"/>
    <mergeCell ref="T197:T198"/>
    <mergeCell ref="T199:T202"/>
    <mergeCell ref="T205:T206"/>
    <mergeCell ref="T207:T208"/>
    <mergeCell ref="T210:T211"/>
    <mergeCell ref="T218:T219"/>
    <mergeCell ref="T223:T224"/>
    <mergeCell ref="T225:T226"/>
    <mergeCell ref="U4:U5"/>
    <mergeCell ref="U7:U8"/>
    <mergeCell ref="U10:U11"/>
    <mergeCell ref="U12:U13"/>
    <mergeCell ref="U14:U16"/>
    <mergeCell ref="U18:U19"/>
    <mergeCell ref="U20:U21"/>
    <mergeCell ref="U23:U26"/>
    <mergeCell ref="U32:U39"/>
    <mergeCell ref="U41:U42"/>
    <mergeCell ref="U45:U47"/>
    <mergeCell ref="U50:U51"/>
    <mergeCell ref="U52:U55"/>
    <mergeCell ref="U61:U62"/>
    <mergeCell ref="U64:U68"/>
    <mergeCell ref="U70:U72"/>
    <mergeCell ref="U73:U75"/>
    <mergeCell ref="U76:U79"/>
    <mergeCell ref="U80:U81"/>
    <mergeCell ref="U85:U88"/>
    <mergeCell ref="U91:U92"/>
    <mergeCell ref="U95:U96"/>
    <mergeCell ref="U97:U99"/>
    <mergeCell ref="U100:U102"/>
    <mergeCell ref="U104:U106"/>
    <mergeCell ref="U107:U108"/>
    <mergeCell ref="U109:U111"/>
    <mergeCell ref="U112:U114"/>
    <mergeCell ref="U115:U116"/>
    <mergeCell ref="U120:U121"/>
    <mergeCell ref="U123:U124"/>
    <mergeCell ref="U125:U128"/>
    <mergeCell ref="U129:U130"/>
    <mergeCell ref="U135:U136"/>
    <mergeCell ref="U139:U140"/>
    <mergeCell ref="U146:U148"/>
    <mergeCell ref="U149:U151"/>
    <mergeCell ref="U153:U154"/>
    <mergeCell ref="U155:U156"/>
    <mergeCell ref="U160:U161"/>
    <mergeCell ref="U164:U167"/>
    <mergeCell ref="U169:U172"/>
    <mergeCell ref="U173:U174"/>
    <mergeCell ref="U176:U177"/>
    <mergeCell ref="U179:U181"/>
    <mergeCell ref="U182:U183"/>
    <mergeCell ref="U184:U185"/>
    <mergeCell ref="U192:U193"/>
    <mergeCell ref="U194:U195"/>
    <mergeCell ref="U197:U198"/>
    <mergeCell ref="U199:U202"/>
    <mergeCell ref="U205:U206"/>
    <mergeCell ref="U207:U208"/>
    <mergeCell ref="U210:U211"/>
    <mergeCell ref="U218:U219"/>
    <mergeCell ref="U223:U224"/>
    <mergeCell ref="U225:U226"/>
  </mergeCells>
  <conditionalFormatting sqref="R2">
    <cfRule type="duplicateValues" dxfId="0" priority="3"/>
  </conditionalFormatting>
  <conditionalFormatting sqref="F124">
    <cfRule type="notContainsBlanks" dxfId="1" priority="8">
      <formula>LEN(TRIM(F124))&gt;0</formula>
    </cfRule>
  </conditionalFormatting>
  <conditionalFormatting sqref="B225:D225">
    <cfRule type="duplicateValues" dxfId="0" priority="2"/>
  </conditionalFormatting>
  <conditionalFormatting sqref="B227:D227">
    <cfRule type="duplicateValues" dxfId="0" priority="1"/>
  </conditionalFormatting>
  <conditionalFormatting sqref="K97:K99">
    <cfRule type="notContainsBlanks" dxfId="1" priority="5">
      <formula>LEN(TRIM(K97))&gt;0</formula>
    </cfRule>
  </conditionalFormatting>
  <conditionalFormatting sqref="P93:P108">
    <cfRule type="notContainsBlanks" dxfId="1" priority="11">
      <formula>LEN(TRIM(P93))&gt;0</formula>
    </cfRule>
  </conditionalFormatting>
  <conditionalFormatting sqref="A2:Q2 S2:T2">
    <cfRule type="duplicateValues" dxfId="0" priority="6"/>
  </conditionalFormatting>
  <conditionalFormatting sqref="P34:P47 F125 C125:D125 F34:G47 C43:D45 C40:D41 K34:L47">
    <cfRule type="notContainsBlanks" dxfId="1" priority="13">
      <formula>LEN(TRIM(C34))&gt;0</formula>
    </cfRule>
  </conditionalFormatting>
  <conditionalFormatting sqref="G61 K61:L61 P61:P62">
    <cfRule type="notContainsBlanks" dxfId="1" priority="9">
      <formula>LEN(TRIM(G61))&gt;0</formula>
    </cfRule>
  </conditionalFormatting>
  <conditionalFormatting sqref="C93:D93 C95:D95 C94 C100:E100 C97:E97 C103:E104 C107:E107 K93:K96 F93:G96 F100:G108 K100:K108">
    <cfRule type="notContainsBlanks" dxfId="1" priority="12">
      <formula>LEN(TRIM(C93))&gt;0</formula>
    </cfRule>
  </conditionalFormatting>
  <conditionalFormatting sqref="F97:G99">
    <cfRule type="notContainsBlanks" dxfId="1" priority="4">
      <formula>LEN(TRIM(F97))&gt;0</formula>
    </cfRule>
  </conditionalFormatting>
  <conditionalFormatting sqref="C112:D112 C117:D120 C122:D123 F122:G123 C115:D115 F109:G111 F113:F119 K109:K123 G112:G121 F126:G128 F121 K126:K128 P109:P128">
    <cfRule type="notContainsBlanks" dxfId="1" priority="10">
      <formula>LEN(TRIM(C109))&gt;0</formula>
    </cfRule>
  </conditionalFormatting>
  <conditionalFormatting sqref="G124:G125 K124:K125">
    <cfRule type="notContainsBlanks" dxfId="1" priority="7">
      <formula>LEN(TRIM(G124))&gt;0</formula>
    </cfRule>
  </conditionalFormatting>
  <conditionalFormatting sqref="B131:B135 B141:B146 B137:B139 B129 B149:B150 B155 B152:B153 B157:B160 B162:B164 B184 B173 B182 B168:B171 B186 B178:B180 B175:B176 B203:B205 B196:B197 B209:B210 B194 B207 B199 B188:B192 B220:B223 B212:B218 B251:B1048576 B230:B243">
    <cfRule type="duplicateValues" dxfId="0" priority="14"/>
  </conditionalFormatting>
  <pageMargins left="0.751388888888889" right="0.751388888888889" top="1" bottom="1" header="0.5" footer="0.5"/>
  <pageSetup paperSize="8" scale="30" fitToHeight="0" orientation="landscape"/>
  <headerFooter/>
  <rowBreaks count="10" manualBreakCount="10">
    <brk id="31" max="16383" man="1"/>
    <brk id="81" max="16383" man="1"/>
    <brk id="114" max="16383" man="1"/>
    <brk id="134" max="16383" man="1"/>
    <brk id="154" max="16383" man="1"/>
    <brk id="172" max="16383" man="1"/>
    <brk id="183" max="16383" man="1"/>
    <brk id="231" max="16383" man="1"/>
    <brk id="231" max="16383" man="1"/>
    <brk id="232" max="16383" man="1"/>
  </rowBreaks>
  <pictur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263"/>
  <sheetViews>
    <sheetView view="pageBreakPreview" zoomScale="70" zoomScaleNormal="55" workbookViewId="0">
      <pane xSplit="2" ySplit="2" topLeftCell="C197" activePane="bottomRight" state="frozen"/>
      <selection/>
      <selection pane="topRight"/>
      <selection pane="bottomLeft"/>
      <selection pane="bottomRight" activeCell="V225" sqref="V225"/>
    </sheetView>
  </sheetViews>
  <sheetFormatPr defaultColWidth="8.66666666666667" defaultRowHeight="16.5"/>
  <cols>
    <col min="1" max="1" width="7.13333333333333" style="5" customWidth="1"/>
    <col min="2" max="2" width="15.9333333333333" style="5" customWidth="1"/>
    <col min="3" max="3" width="25.2" style="5" customWidth="1"/>
    <col min="4" max="4" width="12.6666666666667" style="5" customWidth="1"/>
    <col min="5" max="5" width="18.4666666666667" style="5" customWidth="1"/>
    <col min="6" max="6" width="32.1333333333333" style="5" customWidth="1"/>
    <col min="7" max="7" width="13.6" style="5" customWidth="1"/>
    <col min="8" max="8" width="26.4" style="5" customWidth="1"/>
    <col min="9" max="9" width="18.0666666666667" style="6" customWidth="1"/>
    <col min="10" max="10" width="12.1333333333333" style="6" customWidth="1"/>
    <col min="11" max="11" width="26.9333333333333" style="6" customWidth="1"/>
    <col min="12" max="13" width="13.6666666666667" style="6" customWidth="1"/>
    <col min="14" max="14" width="22.2666666666667" style="6" customWidth="1"/>
    <col min="15" max="15" width="13.6666666666667" style="6" customWidth="1"/>
    <col min="16" max="17" width="18.8" style="6" customWidth="1"/>
    <col min="18" max="20" width="100.733333333333" style="7" customWidth="1"/>
    <col min="21" max="21" width="36.9333333333333" style="8" customWidth="1"/>
    <col min="22" max="16384" width="8.66666666666667" style="3"/>
  </cols>
  <sheetData>
    <row r="1" s="1" customFormat="1" ht="88" customHeight="1" spans="1:21">
      <c r="A1" s="9" t="s">
        <v>132</v>
      </c>
      <c r="B1" s="9"/>
      <c r="C1" s="9"/>
      <c r="D1" s="9"/>
      <c r="E1" s="9"/>
      <c r="F1" s="9"/>
      <c r="G1" s="9"/>
      <c r="H1" s="9"/>
      <c r="I1" s="9"/>
      <c r="J1" s="9"/>
      <c r="K1" s="9"/>
      <c r="L1" s="9"/>
      <c r="M1" s="9"/>
      <c r="N1" s="9"/>
      <c r="O1" s="9"/>
      <c r="P1" s="9"/>
      <c r="Q1" s="9"/>
      <c r="R1" s="36"/>
      <c r="S1" s="36"/>
      <c r="T1" s="36"/>
      <c r="U1" s="36"/>
    </row>
    <row r="2" s="2" customFormat="1" ht="106.05" customHeight="1" spans="1:21">
      <c r="A2" s="10" t="s">
        <v>1</v>
      </c>
      <c r="B2" s="10" t="s">
        <v>2</v>
      </c>
      <c r="C2" s="10" t="s">
        <v>133</v>
      </c>
      <c r="D2" s="10" t="s">
        <v>134</v>
      </c>
      <c r="E2" s="10" t="s">
        <v>135</v>
      </c>
      <c r="F2" s="10" t="s">
        <v>136</v>
      </c>
      <c r="G2" s="10" t="s">
        <v>137</v>
      </c>
      <c r="H2" s="10" t="s">
        <v>138</v>
      </c>
      <c r="I2" s="10" t="s">
        <v>139</v>
      </c>
      <c r="J2" s="10" t="s">
        <v>140</v>
      </c>
      <c r="K2" s="10" t="s">
        <v>141</v>
      </c>
      <c r="L2" s="10" t="s">
        <v>142</v>
      </c>
      <c r="M2" s="10" t="s">
        <v>143</v>
      </c>
      <c r="N2" s="10" t="s">
        <v>144</v>
      </c>
      <c r="O2" s="10" t="s">
        <v>145</v>
      </c>
      <c r="P2" s="10" t="s">
        <v>146</v>
      </c>
      <c r="Q2" s="10" t="s">
        <v>147</v>
      </c>
      <c r="R2" s="10" t="s">
        <v>148</v>
      </c>
      <c r="S2" s="10" t="s">
        <v>149</v>
      </c>
      <c r="T2" s="10" t="s">
        <v>150</v>
      </c>
      <c r="U2" s="10" t="s">
        <v>151</v>
      </c>
    </row>
    <row r="3" s="2" customFormat="1" ht="300" customHeight="1" spans="1:21">
      <c r="A3" s="11">
        <v>1</v>
      </c>
      <c r="B3" s="11" t="s">
        <v>4</v>
      </c>
      <c r="C3" s="11" t="s">
        <v>152</v>
      </c>
      <c r="D3" s="11" t="s">
        <v>153</v>
      </c>
      <c r="E3" s="11" t="s">
        <v>154</v>
      </c>
      <c r="F3" s="11" t="s">
        <v>155</v>
      </c>
      <c r="G3" s="16">
        <v>8</v>
      </c>
      <c r="H3" s="11" t="s">
        <v>156</v>
      </c>
      <c r="I3" s="27" t="s">
        <v>157</v>
      </c>
      <c r="J3" s="28">
        <v>0</v>
      </c>
      <c r="K3" s="19" t="s">
        <v>158</v>
      </c>
      <c r="L3" s="16">
        <v>3.61290322580645</v>
      </c>
      <c r="M3" s="28">
        <v>3.61290322580645</v>
      </c>
      <c r="N3" s="28">
        <v>147.46</v>
      </c>
      <c r="O3" s="28">
        <v>60</v>
      </c>
      <c r="P3" s="33">
        <v>1734.1935483871</v>
      </c>
      <c r="Q3" s="37">
        <v>1734</v>
      </c>
      <c r="R3" s="38" t="s">
        <v>159</v>
      </c>
      <c r="S3" s="38" t="s">
        <v>160</v>
      </c>
      <c r="T3" s="38" t="s">
        <v>159</v>
      </c>
      <c r="U3" s="38" t="s">
        <v>161</v>
      </c>
    </row>
    <row r="4" s="2" customFormat="1" ht="300" customHeight="1" spans="1:21">
      <c r="A4" s="11">
        <v>2</v>
      </c>
      <c r="B4" s="11" t="s">
        <v>1110</v>
      </c>
      <c r="C4" s="11" t="s">
        <v>1111</v>
      </c>
      <c r="D4" s="11" t="s">
        <v>1112</v>
      </c>
      <c r="E4" s="11" t="s">
        <v>154</v>
      </c>
      <c r="F4" s="11" t="s">
        <v>1113</v>
      </c>
      <c r="G4" s="16">
        <v>106.02</v>
      </c>
      <c r="H4" s="11" t="s">
        <v>1114</v>
      </c>
      <c r="I4" s="27" t="s">
        <v>157</v>
      </c>
      <c r="J4" s="28">
        <v>0</v>
      </c>
      <c r="K4" s="19" t="s">
        <v>300</v>
      </c>
      <c r="L4" s="16">
        <v>9.6</v>
      </c>
      <c r="M4" s="28">
        <v>9.6</v>
      </c>
      <c r="N4" s="28">
        <v>120</v>
      </c>
      <c r="O4" s="28">
        <v>60</v>
      </c>
      <c r="P4" s="33">
        <v>61067.52</v>
      </c>
      <c r="Q4" s="37">
        <v>61067</v>
      </c>
      <c r="R4" s="38" t="s">
        <v>1115</v>
      </c>
      <c r="S4" s="38" t="s">
        <v>1116</v>
      </c>
      <c r="T4" s="38" t="s">
        <v>1115</v>
      </c>
      <c r="U4" s="38" t="s">
        <v>1117</v>
      </c>
    </row>
    <row r="5" s="2" customFormat="1" ht="150" customHeight="1" spans="1:21">
      <c r="A5" s="11">
        <v>3</v>
      </c>
      <c r="B5" s="11" t="s">
        <v>5</v>
      </c>
      <c r="C5" s="12" t="s">
        <v>162</v>
      </c>
      <c r="D5" s="13" t="s">
        <v>163</v>
      </c>
      <c r="E5" s="17" t="s">
        <v>154</v>
      </c>
      <c r="F5" s="11" t="s">
        <v>164</v>
      </c>
      <c r="G5" s="16">
        <v>10</v>
      </c>
      <c r="H5" s="11" t="s">
        <v>165</v>
      </c>
      <c r="I5" s="27" t="s">
        <v>157</v>
      </c>
      <c r="J5" s="28">
        <v>0</v>
      </c>
      <c r="K5" s="19" t="s">
        <v>165</v>
      </c>
      <c r="L5" s="16">
        <v>12</v>
      </c>
      <c r="M5" s="28">
        <v>18.1935483870968</v>
      </c>
      <c r="N5" s="28">
        <v>109</v>
      </c>
      <c r="O5" s="28">
        <f>N5*0.5</f>
        <v>54.5</v>
      </c>
      <c r="P5" s="33">
        <v>6540</v>
      </c>
      <c r="Q5" s="37">
        <v>9915</v>
      </c>
      <c r="R5" s="38" t="s">
        <v>166</v>
      </c>
      <c r="S5" s="38" t="s">
        <v>167</v>
      </c>
      <c r="T5" s="38" t="s">
        <v>166</v>
      </c>
      <c r="U5" s="38" t="s">
        <v>168</v>
      </c>
    </row>
    <row r="6" s="2" customFormat="1" ht="150" customHeight="1" spans="1:21">
      <c r="A6" s="11"/>
      <c r="B6" s="11"/>
      <c r="C6" s="12"/>
      <c r="D6" s="13"/>
      <c r="E6" s="18"/>
      <c r="F6" s="11" t="s">
        <v>169</v>
      </c>
      <c r="G6" s="16">
        <v>10</v>
      </c>
      <c r="H6" s="11" t="s">
        <v>170</v>
      </c>
      <c r="I6" s="27"/>
      <c r="J6" s="28"/>
      <c r="K6" s="19" t="s">
        <v>171</v>
      </c>
      <c r="L6" s="16">
        <v>6.19354838709677</v>
      </c>
      <c r="M6" s="28"/>
      <c r="N6" s="28">
        <v>109</v>
      </c>
      <c r="O6" s="28">
        <f>N6*0.5</f>
        <v>54.5</v>
      </c>
      <c r="P6" s="33">
        <v>3375.48387096774</v>
      </c>
      <c r="Q6" s="37"/>
      <c r="R6" s="38"/>
      <c r="S6" s="38"/>
      <c r="T6" s="38"/>
      <c r="U6" s="38"/>
    </row>
    <row r="7" s="2" customFormat="1" ht="150" customHeight="1" spans="1:21">
      <c r="A7" s="11">
        <v>4</v>
      </c>
      <c r="B7" s="11" t="s">
        <v>6</v>
      </c>
      <c r="C7" s="11" t="s">
        <v>172</v>
      </c>
      <c r="D7" s="13" t="s">
        <v>173</v>
      </c>
      <c r="E7" s="17" t="s">
        <v>154</v>
      </c>
      <c r="F7" s="11" t="s">
        <v>174</v>
      </c>
      <c r="G7" s="16">
        <v>90</v>
      </c>
      <c r="H7" s="11" t="s">
        <v>175</v>
      </c>
      <c r="I7" s="27" t="s">
        <v>157</v>
      </c>
      <c r="J7" s="28">
        <v>0</v>
      </c>
      <c r="K7" s="19" t="s">
        <v>175</v>
      </c>
      <c r="L7" s="16">
        <v>12</v>
      </c>
      <c r="M7" s="28">
        <v>19.3666666666667</v>
      </c>
      <c r="N7" s="28">
        <v>209.844444444444</v>
      </c>
      <c r="O7" s="28">
        <v>60</v>
      </c>
      <c r="P7" s="33">
        <v>64800</v>
      </c>
      <c r="Q7" s="37">
        <v>120991</v>
      </c>
      <c r="R7" s="38" t="s">
        <v>1104</v>
      </c>
      <c r="S7" s="38" t="s">
        <v>1105</v>
      </c>
      <c r="T7" s="38" t="s">
        <v>1104</v>
      </c>
      <c r="U7" s="38" t="s">
        <v>1106</v>
      </c>
    </row>
    <row r="8" s="2" customFormat="1" ht="150" customHeight="1" spans="1:21">
      <c r="A8" s="11"/>
      <c r="B8" s="11"/>
      <c r="C8" s="12" t="s">
        <v>1118</v>
      </c>
      <c r="D8" s="13"/>
      <c r="E8" s="18"/>
      <c r="F8" s="11" t="s">
        <v>172</v>
      </c>
      <c r="G8" s="16">
        <v>127.13</v>
      </c>
      <c r="H8" s="11" t="s">
        <v>1119</v>
      </c>
      <c r="I8" s="27"/>
      <c r="J8" s="28"/>
      <c r="K8" s="19" t="s">
        <v>1120</v>
      </c>
      <c r="L8" s="16">
        <v>7.36666666666667</v>
      </c>
      <c r="M8" s="28"/>
      <c r="N8" s="28">
        <v>120</v>
      </c>
      <c r="O8" s="28">
        <v>60</v>
      </c>
      <c r="P8" s="33">
        <v>56191.46</v>
      </c>
      <c r="Q8" s="37"/>
      <c r="R8" s="38"/>
      <c r="S8" s="38"/>
      <c r="T8" s="38"/>
      <c r="U8" s="38"/>
    </row>
    <row r="9" s="2" customFormat="1" ht="150" customHeight="1" spans="1:21">
      <c r="A9" s="11">
        <v>5</v>
      </c>
      <c r="B9" s="11" t="s">
        <v>7</v>
      </c>
      <c r="C9" s="12" t="s">
        <v>179</v>
      </c>
      <c r="D9" s="13" t="s">
        <v>180</v>
      </c>
      <c r="E9" s="17" t="s">
        <v>154</v>
      </c>
      <c r="F9" s="11" t="s">
        <v>181</v>
      </c>
      <c r="G9" s="16">
        <v>40</v>
      </c>
      <c r="H9" s="11" t="s">
        <v>182</v>
      </c>
      <c r="I9" s="27" t="s">
        <v>157</v>
      </c>
      <c r="J9" s="28">
        <v>0</v>
      </c>
      <c r="K9" s="19" t="s">
        <v>183</v>
      </c>
      <c r="L9" s="16">
        <v>6</v>
      </c>
      <c r="M9" s="28">
        <v>13.5333333333333</v>
      </c>
      <c r="N9" s="28">
        <v>210</v>
      </c>
      <c r="O9" s="28">
        <v>60</v>
      </c>
      <c r="P9" s="33">
        <v>14400</v>
      </c>
      <c r="Q9" s="37">
        <v>16660</v>
      </c>
      <c r="R9" s="38" t="s">
        <v>184</v>
      </c>
      <c r="S9" s="38" t="s">
        <v>185</v>
      </c>
      <c r="T9" s="38" t="s">
        <v>184</v>
      </c>
      <c r="U9" s="38" t="s">
        <v>186</v>
      </c>
    </row>
    <row r="10" s="2" customFormat="1" ht="150" customHeight="1" spans="1:21">
      <c r="A10" s="11"/>
      <c r="B10" s="11"/>
      <c r="C10" s="12"/>
      <c r="D10" s="13"/>
      <c r="E10" s="18"/>
      <c r="F10" s="11" t="s">
        <v>187</v>
      </c>
      <c r="G10" s="16">
        <v>5</v>
      </c>
      <c r="H10" s="11" t="s">
        <v>188</v>
      </c>
      <c r="I10" s="27"/>
      <c r="J10" s="28"/>
      <c r="K10" s="19" t="s">
        <v>189</v>
      </c>
      <c r="L10" s="16">
        <v>7.53333333333333</v>
      </c>
      <c r="M10" s="28"/>
      <c r="N10" s="28">
        <v>280</v>
      </c>
      <c r="O10" s="28">
        <v>60</v>
      </c>
      <c r="P10" s="33">
        <v>2260</v>
      </c>
      <c r="Q10" s="37"/>
      <c r="R10" s="38"/>
      <c r="S10" s="38"/>
      <c r="T10" s="38"/>
      <c r="U10" s="38"/>
    </row>
    <row r="11" s="2" customFormat="1" ht="300" customHeight="1" spans="1:21">
      <c r="A11" s="11">
        <v>6</v>
      </c>
      <c r="B11" s="11" t="s">
        <v>8</v>
      </c>
      <c r="C11" s="12" t="s">
        <v>190</v>
      </c>
      <c r="D11" s="13" t="s">
        <v>191</v>
      </c>
      <c r="E11" s="13" t="s">
        <v>154</v>
      </c>
      <c r="F11" s="11" t="s">
        <v>192</v>
      </c>
      <c r="G11" s="16">
        <v>10</v>
      </c>
      <c r="H11" s="11" t="s">
        <v>193</v>
      </c>
      <c r="I11" s="27" t="s">
        <v>157</v>
      </c>
      <c r="J11" s="28">
        <v>0</v>
      </c>
      <c r="K11" s="19" t="s">
        <v>194</v>
      </c>
      <c r="L11" s="16">
        <v>10.9677419354839</v>
      </c>
      <c r="M11" s="28">
        <v>10.9677419354839</v>
      </c>
      <c r="N11" s="28">
        <v>150</v>
      </c>
      <c r="O11" s="28">
        <v>60</v>
      </c>
      <c r="P11" s="33">
        <v>6580.64516129032</v>
      </c>
      <c r="Q11" s="37">
        <v>6580</v>
      </c>
      <c r="R11" s="38" t="s">
        <v>195</v>
      </c>
      <c r="S11" s="38" t="s">
        <v>196</v>
      </c>
      <c r="T11" s="38" t="s">
        <v>195</v>
      </c>
      <c r="U11" s="38" t="s">
        <v>197</v>
      </c>
    </row>
    <row r="12" s="2" customFormat="1" ht="150" customHeight="1" spans="1:21">
      <c r="A12" s="11">
        <v>7</v>
      </c>
      <c r="B12" s="11" t="s">
        <v>9</v>
      </c>
      <c r="C12" s="12" t="s">
        <v>198</v>
      </c>
      <c r="D12" s="13" t="s">
        <v>199</v>
      </c>
      <c r="E12" s="17" t="s">
        <v>154</v>
      </c>
      <c r="F12" s="11" t="s">
        <v>200</v>
      </c>
      <c r="G12" s="16">
        <v>21</v>
      </c>
      <c r="H12" s="11" t="s">
        <v>201</v>
      </c>
      <c r="I12" s="27" t="s">
        <v>157</v>
      </c>
      <c r="J12" s="28">
        <v>0</v>
      </c>
      <c r="K12" s="19" t="s">
        <v>201</v>
      </c>
      <c r="L12" s="16">
        <v>6.1494623655914</v>
      </c>
      <c r="M12" s="28">
        <v>12.6333333333333</v>
      </c>
      <c r="N12" s="28">
        <v>87.42</v>
      </c>
      <c r="O12" s="28">
        <f>N12*0.5</f>
        <v>43.71</v>
      </c>
      <c r="P12" s="33">
        <v>5644.653</v>
      </c>
      <c r="Q12" s="37">
        <v>11774</v>
      </c>
      <c r="R12" s="38" t="s">
        <v>202</v>
      </c>
      <c r="S12" s="38" t="s">
        <v>203</v>
      </c>
      <c r="T12" s="38" t="s">
        <v>202</v>
      </c>
      <c r="U12" s="38" t="s">
        <v>204</v>
      </c>
    </row>
    <row r="13" s="2" customFormat="1" ht="150" customHeight="1" spans="1:21">
      <c r="A13" s="11"/>
      <c r="B13" s="11"/>
      <c r="C13" s="12"/>
      <c r="D13" s="13"/>
      <c r="E13" s="18"/>
      <c r="F13" s="11" t="s">
        <v>200</v>
      </c>
      <c r="G13" s="16">
        <v>21</v>
      </c>
      <c r="H13" s="11" t="s">
        <v>205</v>
      </c>
      <c r="I13" s="27"/>
      <c r="J13" s="28"/>
      <c r="K13" s="19" t="s">
        <v>206</v>
      </c>
      <c r="L13" s="16">
        <v>6.48387096774194</v>
      </c>
      <c r="M13" s="28"/>
      <c r="N13" s="28">
        <v>90.04</v>
      </c>
      <c r="O13" s="28">
        <f>N13*0.5</f>
        <v>45.02</v>
      </c>
      <c r="P13" s="33">
        <v>6129.98129032258</v>
      </c>
      <c r="Q13" s="37"/>
      <c r="R13" s="38"/>
      <c r="S13" s="38"/>
      <c r="T13" s="38"/>
      <c r="U13" s="38"/>
    </row>
    <row r="14" s="2" customFormat="1" ht="150" customHeight="1" spans="1:21">
      <c r="A14" s="11">
        <v>8</v>
      </c>
      <c r="B14" s="11" t="s">
        <v>10</v>
      </c>
      <c r="C14" s="12" t="s">
        <v>207</v>
      </c>
      <c r="D14" s="13" t="s">
        <v>208</v>
      </c>
      <c r="E14" s="17" t="s">
        <v>154</v>
      </c>
      <c r="F14" s="11" t="s">
        <v>209</v>
      </c>
      <c r="G14" s="16">
        <v>5</v>
      </c>
      <c r="H14" s="11" t="s">
        <v>210</v>
      </c>
      <c r="I14" s="27" t="s">
        <v>157</v>
      </c>
      <c r="J14" s="28">
        <v>0</v>
      </c>
      <c r="K14" s="19" t="s">
        <v>210</v>
      </c>
      <c r="L14" s="16">
        <v>12</v>
      </c>
      <c r="M14" s="28">
        <v>16.3448275862069</v>
      </c>
      <c r="N14" s="28">
        <v>233.55</v>
      </c>
      <c r="O14" s="28">
        <v>60</v>
      </c>
      <c r="P14" s="33">
        <v>3600</v>
      </c>
      <c r="Q14" s="37">
        <v>4903</v>
      </c>
      <c r="R14" s="38" t="s">
        <v>211</v>
      </c>
      <c r="S14" s="38" t="s">
        <v>212</v>
      </c>
      <c r="T14" s="38" t="s">
        <v>211</v>
      </c>
      <c r="U14" s="38" t="s">
        <v>213</v>
      </c>
    </row>
    <row r="15" s="2" customFormat="1" ht="150" customHeight="1" spans="1:21">
      <c r="A15" s="11"/>
      <c r="B15" s="11"/>
      <c r="C15" s="12"/>
      <c r="D15" s="13"/>
      <c r="E15" s="18"/>
      <c r="F15" s="11" t="s">
        <v>214</v>
      </c>
      <c r="G15" s="16">
        <v>5</v>
      </c>
      <c r="H15" s="11" t="s">
        <v>215</v>
      </c>
      <c r="I15" s="27"/>
      <c r="J15" s="28"/>
      <c r="K15" s="19" t="s">
        <v>216</v>
      </c>
      <c r="L15" s="16">
        <v>4.3448275862069</v>
      </c>
      <c r="M15" s="28"/>
      <c r="N15" s="28">
        <v>218</v>
      </c>
      <c r="O15" s="28">
        <v>60</v>
      </c>
      <c r="P15" s="33">
        <v>1303.44827586207</v>
      </c>
      <c r="Q15" s="37"/>
      <c r="R15" s="38"/>
      <c r="S15" s="38"/>
      <c r="T15" s="38"/>
      <c r="U15" s="38"/>
    </row>
    <row r="16" s="2" customFormat="1" ht="300" customHeight="1" spans="1:21">
      <c r="A16" s="11">
        <v>9</v>
      </c>
      <c r="B16" s="11" t="s">
        <v>1121</v>
      </c>
      <c r="C16" s="12" t="s">
        <v>1122</v>
      </c>
      <c r="D16" s="13" t="s">
        <v>1123</v>
      </c>
      <c r="E16" s="13" t="s">
        <v>154</v>
      </c>
      <c r="F16" s="11" t="s">
        <v>1124</v>
      </c>
      <c r="G16" s="16">
        <v>127.13</v>
      </c>
      <c r="H16" s="11" t="s">
        <v>1125</v>
      </c>
      <c r="I16" s="27" t="s">
        <v>157</v>
      </c>
      <c r="J16" s="28">
        <v>0</v>
      </c>
      <c r="K16" s="19" t="s">
        <v>602</v>
      </c>
      <c r="L16" s="16">
        <v>6</v>
      </c>
      <c r="M16" s="28">
        <v>6</v>
      </c>
      <c r="N16" s="28">
        <v>120</v>
      </c>
      <c r="O16" s="28">
        <v>60</v>
      </c>
      <c r="P16" s="33">
        <v>45766.8</v>
      </c>
      <c r="Q16" s="37">
        <v>45766</v>
      </c>
      <c r="R16" s="38" t="s">
        <v>1126</v>
      </c>
      <c r="S16" s="38" t="s">
        <v>1127</v>
      </c>
      <c r="T16" s="38" t="s">
        <v>1126</v>
      </c>
      <c r="U16" s="38" t="s">
        <v>1128</v>
      </c>
    </row>
    <row r="17" s="2" customFormat="1" ht="100.05" customHeight="1" spans="1:21">
      <c r="A17" s="11">
        <v>10</v>
      </c>
      <c r="B17" s="14" t="s">
        <v>11</v>
      </c>
      <c r="C17" s="14" t="s">
        <v>217</v>
      </c>
      <c r="D17" s="14" t="s">
        <v>218</v>
      </c>
      <c r="E17" s="17" t="s">
        <v>154</v>
      </c>
      <c r="F17" s="14" t="s">
        <v>219</v>
      </c>
      <c r="G17" s="19">
        <v>60</v>
      </c>
      <c r="H17" s="11" t="s">
        <v>182</v>
      </c>
      <c r="I17" s="27" t="s">
        <v>220</v>
      </c>
      <c r="J17" s="28">
        <v>7.53333333333333</v>
      </c>
      <c r="K17" s="19" t="s">
        <v>221</v>
      </c>
      <c r="L17" s="16">
        <v>4.46666666666667</v>
      </c>
      <c r="M17" s="28">
        <v>19.5333333333333</v>
      </c>
      <c r="N17" s="28">
        <v>120</v>
      </c>
      <c r="O17" s="28">
        <v>60</v>
      </c>
      <c r="P17" s="33">
        <v>16080</v>
      </c>
      <c r="Q17" s="37">
        <v>44400</v>
      </c>
      <c r="R17" s="38" t="s">
        <v>222</v>
      </c>
      <c r="S17" s="38" t="s">
        <v>223</v>
      </c>
      <c r="T17" s="38" t="s">
        <v>222</v>
      </c>
      <c r="U17" s="38" t="s">
        <v>224</v>
      </c>
    </row>
    <row r="18" s="2" customFormat="1" ht="100.05" customHeight="1" spans="1:21">
      <c r="A18" s="11"/>
      <c r="B18" s="14"/>
      <c r="C18" s="14"/>
      <c r="D18" s="14"/>
      <c r="E18" s="20"/>
      <c r="F18" s="14" t="s">
        <v>225</v>
      </c>
      <c r="G18" s="19">
        <v>60</v>
      </c>
      <c r="H18" s="11" t="s">
        <v>188</v>
      </c>
      <c r="I18" s="27"/>
      <c r="J18" s="28"/>
      <c r="K18" s="19" t="s">
        <v>189</v>
      </c>
      <c r="L18" s="16">
        <v>5.53333333333333</v>
      </c>
      <c r="M18" s="28"/>
      <c r="N18" s="28">
        <v>150</v>
      </c>
      <c r="O18" s="28">
        <v>60</v>
      </c>
      <c r="P18" s="33">
        <v>19920</v>
      </c>
      <c r="Q18" s="37"/>
      <c r="R18" s="38"/>
      <c r="S18" s="38"/>
      <c r="T18" s="38"/>
      <c r="U18" s="38"/>
    </row>
    <row r="19" s="2" customFormat="1" ht="100.05" customHeight="1" spans="1:21">
      <c r="A19" s="11"/>
      <c r="B19" s="14"/>
      <c r="C19" s="14"/>
      <c r="D19" s="14"/>
      <c r="E19" s="18"/>
      <c r="F19" s="14" t="s">
        <v>226</v>
      </c>
      <c r="G19" s="19">
        <v>70</v>
      </c>
      <c r="H19" s="11" t="s">
        <v>227</v>
      </c>
      <c r="I19" s="27"/>
      <c r="J19" s="28"/>
      <c r="K19" s="19" t="s">
        <v>228</v>
      </c>
      <c r="L19" s="16">
        <v>2</v>
      </c>
      <c r="M19" s="28"/>
      <c r="N19" s="28">
        <v>120</v>
      </c>
      <c r="O19" s="28">
        <v>60</v>
      </c>
      <c r="P19" s="33">
        <v>8400</v>
      </c>
      <c r="Q19" s="37"/>
      <c r="R19" s="38"/>
      <c r="S19" s="38"/>
      <c r="T19" s="38"/>
      <c r="U19" s="38"/>
    </row>
    <row r="20" s="2" customFormat="1" ht="300" customHeight="1" spans="1:21">
      <c r="A20" s="11">
        <v>11</v>
      </c>
      <c r="B20" s="14" t="s">
        <v>12</v>
      </c>
      <c r="C20" s="14" t="s">
        <v>229</v>
      </c>
      <c r="D20" s="14" t="s">
        <v>230</v>
      </c>
      <c r="E20" s="13" t="s">
        <v>154</v>
      </c>
      <c r="F20" s="14" t="s">
        <v>231</v>
      </c>
      <c r="G20" s="19">
        <v>810.26</v>
      </c>
      <c r="H20" s="11" t="s">
        <v>232</v>
      </c>
      <c r="I20" s="27" t="s">
        <v>157</v>
      </c>
      <c r="J20" s="28">
        <v>0</v>
      </c>
      <c r="K20" s="19" t="s">
        <v>233</v>
      </c>
      <c r="L20" s="16">
        <v>7.2</v>
      </c>
      <c r="M20" s="28">
        <v>7.2</v>
      </c>
      <c r="N20" s="28">
        <v>82</v>
      </c>
      <c r="O20" s="28">
        <f t="shared" ref="O20:O24" si="0">N20*0.5</f>
        <v>41</v>
      </c>
      <c r="P20" s="33">
        <v>239188.752</v>
      </c>
      <c r="Q20" s="37">
        <v>239188</v>
      </c>
      <c r="R20" s="38" t="s">
        <v>234</v>
      </c>
      <c r="S20" s="38" t="s">
        <v>235</v>
      </c>
      <c r="T20" s="38" t="s">
        <v>234</v>
      </c>
      <c r="U20" s="38" t="s">
        <v>236</v>
      </c>
    </row>
    <row r="21" s="2" customFormat="1" ht="150" customHeight="1" spans="1:21">
      <c r="A21" s="11">
        <v>12</v>
      </c>
      <c r="B21" s="14" t="s">
        <v>13</v>
      </c>
      <c r="C21" s="14" t="s">
        <v>237</v>
      </c>
      <c r="D21" s="14" t="s">
        <v>238</v>
      </c>
      <c r="E21" s="17" t="s">
        <v>154</v>
      </c>
      <c r="F21" s="14" t="s">
        <v>237</v>
      </c>
      <c r="G21" s="19">
        <v>270</v>
      </c>
      <c r="H21" s="11" t="s">
        <v>239</v>
      </c>
      <c r="I21" s="27" t="s">
        <v>157</v>
      </c>
      <c r="J21" s="29">
        <v>0</v>
      </c>
      <c r="K21" s="19" t="s">
        <v>240</v>
      </c>
      <c r="L21" s="16">
        <v>4.51612903225806</v>
      </c>
      <c r="M21" s="28">
        <v>11</v>
      </c>
      <c r="N21" s="28">
        <v>110.25</v>
      </c>
      <c r="O21" s="28">
        <f t="shared" si="0"/>
        <v>55.125</v>
      </c>
      <c r="P21" s="33">
        <v>67216.935483871</v>
      </c>
      <c r="Q21" s="37">
        <v>187954</v>
      </c>
      <c r="R21" s="38" t="s">
        <v>241</v>
      </c>
      <c r="S21" s="38" t="s">
        <v>242</v>
      </c>
      <c r="T21" s="38" t="s">
        <v>241</v>
      </c>
      <c r="U21" s="38" t="s">
        <v>243</v>
      </c>
    </row>
    <row r="22" s="2" customFormat="1" ht="150" customHeight="1" spans="1:21">
      <c r="A22" s="11"/>
      <c r="B22" s="14"/>
      <c r="C22" s="14"/>
      <c r="D22" s="14"/>
      <c r="E22" s="18"/>
      <c r="F22" s="14" t="s">
        <v>237</v>
      </c>
      <c r="G22" s="19">
        <v>337.8</v>
      </c>
      <c r="H22" s="11" t="s">
        <v>244</v>
      </c>
      <c r="I22" s="27"/>
      <c r="J22" s="30"/>
      <c r="K22" s="19" t="s">
        <v>206</v>
      </c>
      <c r="L22" s="16">
        <v>6.48387096774194</v>
      </c>
      <c r="M22" s="28"/>
      <c r="N22" s="28">
        <v>110.25</v>
      </c>
      <c r="O22" s="28">
        <f t="shared" si="0"/>
        <v>55.125</v>
      </c>
      <c r="P22" s="33">
        <v>120737.62016129</v>
      </c>
      <c r="Q22" s="37"/>
      <c r="R22" s="38"/>
      <c r="S22" s="38"/>
      <c r="T22" s="38"/>
      <c r="U22" s="38"/>
    </row>
    <row r="23" s="2" customFormat="1" ht="150" customHeight="1" spans="1:21">
      <c r="A23" s="11">
        <v>13</v>
      </c>
      <c r="B23" s="14" t="s">
        <v>14</v>
      </c>
      <c r="C23" s="14" t="s">
        <v>245</v>
      </c>
      <c r="D23" s="14" t="s">
        <v>246</v>
      </c>
      <c r="E23" s="21" t="s">
        <v>154</v>
      </c>
      <c r="F23" s="14" t="s">
        <v>247</v>
      </c>
      <c r="G23" s="19">
        <v>8.5</v>
      </c>
      <c r="H23" s="11" t="s">
        <v>248</v>
      </c>
      <c r="I23" s="27" t="s">
        <v>157</v>
      </c>
      <c r="J23" s="28">
        <v>0</v>
      </c>
      <c r="K23" s="19" t="s">
        <v>249</v>
      </c>
      <c r="L23" s="16">
        <v>8.29032258064516</v>
      </c>
      <c r="M23" s="28">
        <v>12</v>
      </c>
      <c r="N23" s="28">
        <v>117.647058823529</v>
      </c>
      <c r="O23" s="28">
        <f t="shared" si="0"/>
        <v>58.8235294117645</v>
      </c>
      <c r="P23" s="33">
        <v>4145.16129032258</v>
      </c>
      <c r="Q23" s="37">
        <v>6000</v>
      </c>
      <c r="R23" s="38" t="s">
        <v>250</v>
      </c>
      <c r="S23" s="38" t="s">
        <v>251</v>
      </c>
      <c r="T23" s="38" t="s">
        <v>250</v>
      </c>
      <c r="U23" s="38" t="s">
        <v>252</v>
      </c>
    </row>
    <row r="24" s="2" customFormat="1" ht="150" customHeight="1" spans="1:21">
      <c r="A24" s="11"/>
      <c r="B24" s="14"/>
      <c r="C24" s="14"/>
      <c r="D24" s="14"/>
      <c r="E24" s="22"/>
      <c r="F24" s="14" t="s">
        <v>247</v>
      </c>
      <c r="G24" s="19">
        <v>8.5</v>
      </c>
      <c r="H24" s="11" t="s">
        <v>253</v>
      </c>
      <c r="I24" s="27"/>
      <c r="J24" s="28"/>
      <c r="K24" s="19" t="s">
        <v>254</v>
      </c>
      <c r="L24" s="16">
        <v>3.70967741935484</v>
      </c>
      <c r="M24" s="28"/>
      <c r="N24" s="28">
        <v>117.647058823529</v>
      </c>
      <c r="O24" s="28">
        <f t="shared" si="0"/>
        <v>58.8235294117645</v>
      </c>
      <c r="P24" s="33">
        <v>1854.83870967742</v>
      </c>
      <c r="Q24" s="37"/>
      <c r="R24" s="38"/>
      <c r="S24" s="38"/>
      <c r="T24" s="38"/>
      <c r="U24" s="38"/>
    </row>
    <row r="25" s="2" customFormat="1" ht="300" customHeight="1" spans="1:21">
      <c r="A25" s="11">
        <v>14</v>
      </c>
      <c r="B25" s="14" t="s">
        <v>15</v>
      </c>
      <c r="C25" s="14" t="s">
        <v>255</v>
      </c>
      <c r="D25" s="11" t="s">
        <v>256</v>
      </c>
      <c r="E25" s="13" t="s">
        <v>154</v>
      </c>
      <c r="F25" s="14" t="s">
        <v>255</v>
      </c>
      <c r="G25" s="19">
        <v>8.5</v>
      </c>
      <c r="H25" s="11" t="s">
        <v>257</v>
      </c>
      <c r="I25" s="27" t="s">
        <v>157</v>
      </c>
      <c r="J25" s="28">
        <v>0</v>
      </c>
      <c r="K25" s="19" t="s">
        <v>206</v>
      </c>
      <c r="L25" s="16">
        <v>6.48387096774194</v>
      </c>
      <c r="M25" s="28">
        <v>6.48387096774194</v>
      </c>
      <c r="N25" s="28">
        <v>176.470588235294</v>
      </c>
      <c r="O25" s="28">
        <v>60</v>
      </c>
      <c r="P25" s="33">
        <v>3306.77419354839</v>
      </c>
      <c r="Q25" s="37">
        <v>3306</v>
      </c>
      <c r="R25" s="38" t="s">
        <v>258</v>
      </c>
      <c r="S25" s="38" t="s">
        <v>259</v>
      </c>
      <c r="T25" s="38" t="s">
        <v>258</v>
      </c>
      <c r="U25" s="38" t="s">
        <v>260</v>
      </c>
    </row>
    <row r="26" s="2" customFormat="1" ht="150" customHeight="1" spans="1:21">
      <c r="A26" s="11">
        <v>15</v>
      </c>
      <c r="B26" s="14" t="s">
        <v>16</v>
      </c>
      <c r="C26" s="14" t="s">
        <v>261</v>
      </c>
      <c r="D26" s="14" t="s">
        <v>262</v>
      </c>
      <c r="E26" s="21" t="s">
        <v>154</v>
      </c>
      <c r="F26" s="14" t="s">
        <v>263</v>
      </c>
      <c r="G26" s="19">
        <v>150</v>
      </c>
      <c r="H26" s="11" t="s">
        <v>264</v>
      </c>
      <c r="I26" s="27" t="s">
        <v>220</v>
      </c>
      <c r="J26" s="29">
        <v>9</v>
      </c>
      <c r="K26" s="19" t="s">
        <v>265</v>
      </c>
      <c r="L26" s="16">
        <v>4</v>
      </c>
      <c r="M26" s="28">
        <v>21</v>
      </c>
      <c r="N26" s="28">
        <v>120</v>
      </c>
      <c r="O26" s="28">
        <v>60</v>
      </c>
      <c r="P26" s="33">
        <v>36000</v>
      </c>
      <c r="Q26" s="37">
        <v>96300</v>
      </c>
      <c r="R26" s="38" t="s">
        <v>266</v>
      </c>
      <c r="S26" s="38" t="s">
        <v>267</v>
      </c>
      <c r="T26" s="38" t="s">
        <v>266</v>
      </c>
      <c r="U26" s="38" t="s">
        <v>268</v>
      </c>
    </row>
    <row r="27" s="2" customFormat="1" ht="150" customHeight="1" spans="1:21">
      <c r="A27" s="11"/>
      <c r="B27" s="14"/>
      <c r="C27" s="14"/>
      <c r="D27" s="14"/>
      <c r="E27" s="23"/>
      <c r="F27" s="14" t="s">
        <v>263</v>
      </c>
      <c r="G27" s="19">
        <v>150</v>
      </c>
      <c r="H27" s="11" t="s">
        <v>264</v>
      </c>
      <c r="I27" s="27"/>
      <c r="J27" s="31"/>
      <c r="K27" s="19" t="s">
        <v>269</v>
      </c>
      <c r="L27" s="16">
        <v>2</v>
      </c>
      <c r="M27" s="28"/>
      <c r="N27" s="28">
        <v>96</v>
      </c>
      <c r="O27" s="28">
        <f>N27*0.5</f>
        <v>48</v>
      </c>
      <c r="P27" s="33">
        <v>14400</v>
      </c>
      <c r="Q27" s="37"/>
      <c r="R27" s="38"/>
      <c r="S27" s="38"/>
      <c r="T27" s="38"/>
      <c r="U27" s="38"/>
    </row>
    <row r="28" s="2" customFormat="1" ht="150" customHeight="1" spans="1:21">
      <c r="A28" s="11"/>
      <c r="B28" s="14"/>
      <c r="C28" s="14"/>
      <c r="D28" s="14"/>
      <c r="E28" s="23"/>
      <c r="F28" s="14" t="s">
        <v>263</v>
      </c>
      <c r="G28" s="19">
        <v>150</v>
      </c>
      <c r="H28" s="11" t="s">
        <v>270</v>
      </c>
      <c r="I28" s="27"/>
      <c r="J28" s="31"/>
      <c r="K28" s="19" t="s">
        <v>270</v>
      </c>
      <c r="L28" s="16">
        <v>3</v>
      </c>
      <c r="M28" s="28"/>
      <c r="N28" s="28">
        <v>120</v>
      </c>
      <c r="O28" s="28">
        <v>60</v>
      </c>
      <c r="P28" s="33">
        <v>27000</v>
      </c>
      <c r="Q28" s="37"/>
      <c r="R28" s="38"/>
      <c r="S28" s="38"/>
      <c r="T28" s="38"/>
      <c r="U28" s="38"/>
    </row>
    <row r="29" s="2" customFormat="1" ht="150" customHeight="1" spans="1:21">
      <c r="A29" s="11"/>
      <c r="B29" s="14"/>
      <c r="C29" s="14"/>
      <c r="D29" s="14"/>
      <c r="E29" s="22"/>
      <c r="F29" s="14" t="s">
        <v>271</v>
      </c>
      <c r="G29" s="19">
        <v>105</v>
      </c>
      <c r="H29" s="11" t="s">
        <v>272</v>
      </c>
      <c r="I29" s="27"/>
      <c r="J29" s="30"/>
      <c r="K29" s="19" t="s">
        <v>273</v>
      </c>
      <c r="L29" s="16">
        <v>3</v>
      </c>
      <c r="M29" s="28"/>
      <c r="N29" s="28">
        <v>120</v>
      </c>
      <c r="O29" s="28">
        <v>60</v>
      </c>
      <c r="P29" s="33">
        <v>18900</v>
      </c>
      <c r="Q29" s="37"/>
      <c r="R29" s="38"/>
      <c r="S29" s="38"/>
      <c r="T29" s="38"/>
      <c r="U29" s="38"/>
    </row>
    <row r="30" s="2" customFormat="1" ht="300" customHeight="1" spans="1:21">
      <c r="A30" s="11">
        <v>16</v>
      </c>
      <c r="B30" s="14" t="s">
        <v>17</v>
      </c>
      <c r="C30" s="14" t="s">
        <v>274</v>
      </c>
      <c r="D30" s="14" t="s">
        <v>275</v>
      </c>
      <c r="E30" s="14" t="s">
        <v>154</v>
      </c>
      <c r="F30" s="14" t="s">
        <v>276</v>
      </c>
      <c r="G30" s="19">
        <v>155</v>
      </c>
      <c r="H30" s="11" t="s">
        <v>277</v>
      </c>
      <c r="I30" s="27" t="s">
        <v>157</v>
      </c>
      <c r="J30" s="28">
        <v>0</v>
      </c>
      <c r="K30" s="19" t="s">
        <v>278</v>
      </c>
      <c r="L30" s="16">
        <v>12</v>
      </c>
      <c r="M30" s="28">
        <v>12</v>
      </c>
      <c r="N30" s="28">
        <v>139</v>
      </c>
      <c r="O30" s="28">
        <v>60</v>
      </c>
      <c r="P30" s="34">
        <v>111600</v>
      </c>
      <c r="Q30" s="37">
        <v>111600</v>
      </c>
      <c r="R30" s="38" t="s">
        <v>279</v>
      </c>
      <c r="S30" s="38" t="s">
        <v>280</v>
      </c>
      <c r="T30" s="38" t="s">
        <v>279</v>
      </c>
      <c r="U30" s="38" t="s">
        <v>281</v>
      </c>
    </row>
    <row r="31" s="2" customFormat="1" ht="300" customHeight="1" spans="1:21">
      <c r="A31" s="11">
        <v>17</v>
      </c>
      <c r="B31" s="11" t="s">
        <v>18</v>
      </c>
      <c r="C31" s="14" t="s">
        <v>282</v>
      </c>
      <c r="D31" s="14" t="s">
        <v>283</v>
      </c>
      <c r="E31" s="13" t="s">
        <v>154</v>
      </c>
      <c r="F31" s="14" t="s">
        <v>282</v>
      </c>
      <c r="G31" s="16">
        <v>24.46</v>
      </c>
      <c r="H31" s="11" t="s">
        <v>284</v>
      </c>
      <c r="I31" s="27" t="s">
        <v>157</v>
      </c>
      <c r="J31" s="28">
        <v>0</v>
      </c>
      <c r="K31" s="19" t="s">
        <v>285</v>
      </c>
      <c r="L31" s="16">
        <v>8.51612903225806</v>
      </c>
      <c r="M31" s="28">
        <v>8.51612903225806</v>
      </c>
      <c r="N31" s="28">
        <v>107.16</v>
      </c>
      <c r="O31" s="28">
        <f t="shared" ref="O31:O46" si="1">N31*0.5</f>
        <v>53.58</v>
      </c>
      <c r="P31" s="33">
        <v>11160.9559741935</v>
      </c>
      <c r="Q31" s="37">
        <v>11160</v>
      </c>
      <c r="R31" s="38" t="s">
        <v>286</v>
      </c>
      <c r="S31" s="38" t="s">
        <v>287</v>
      </c>
      <c r="T31" s="38" t="s">
        <v>286</v>
      </c>
      <c r="U31" s="38" t="s">
        <v>288</v>
      </c>
    </row>
    <row r="32" s="2" customFormat="1" ht="300" customHeight="1" spans="1:21">
      <c r="A32" s="11">
        <v>18</v>
      </c>
      <c r="B32" s="11" t="s">
        <v>19</v>
      </c>
      <c r="C32" s="14" t="s">
        <v>289</v>
      </c>
      <c r="D32" s="14" t="s">
        <v>290</v>
      </c>
      <c r="E32" s="13" t="s">
        <v>154</v>
      </c>
      <c r="F32" s="14" t="s">
        <v>289</v>
      </c>
      <c r="G32" s="16">
        <v>10</v>
      </c>
      <c r="H32" s="11" t="s">
        <v>291</v>
      </c>
      <c r="I32" s="27" t="s">
        <v>157</v>
      </c>
      <c r="J32" s="28">
        <v>0</v>
      </c>
      <c r="K32" s="19" t="s">
        <v>292</v>
      </c>
      <c r="L32" s="16">
        <v>5.87096774193548</v>
      </c>
      <c r="M32" s="28">
        <v>5.87096774193548</v>
      </c>
      <c r="N32" s="28">
        <v>150</v>
      </c>
      <c r="O32" s="28">
        <v>60</v>
      </c>
      <c r="P32" s="33">
        <v>3522.58064516129</v>
      </c>
      <c r="Q32" s="37">
        <v>3522</v>
      </c>
      <c r="R32" s="38" t="s">
        <v>293</v>
      </c>
      <c r="S32" s="38" t="s">
        <v>294</v>
      </c>
      <c r="T32" s="38" t="s">
        <v>293</v>
      </c>
      <c r="U32" s="38" t="s">
        <v>295</v>
      </c>
    </row>
    <row r="33" s="2" customFormat="1" ht="300" customHeight="1" spans="1:21">
      <c r="A33" s="11">
        <v>19</v>
      </c>
      <c r="B33" s="11" t="s">
        <v>296</v>
      </c>
      <c r="C33" s="14" t="s">
        <v>297</v>
      </c>
      <c r="D33" s="14" t="s">
        <v>298</v>
      </c>
      <c r="E33" s="13" t="s">
        <v>154</v>
      </c>
      <c r="F33" s="14" t="s">
        <v>297</v>
      </c>
      <c r="G33" s="16">
        <v>248</v>
      </c>
      <c r="H33" s="11" t="s">
        <v>299</v>
      </c>
      <c r="I33" s="27" t="s">
        <v>157</v>
      </c>
      <c r="J33" s="28">
        <v>0</v>
      </c>
      <c r="K33" s="19" t="s">
        <v>300</v>
      </c>
      <c r="L33" s="16">
        <v>9.6</v>
      </c>
      <c r="M33" s="28">
        <v>9.6</v>
      </c>
      <c r="N33" s="28">
        <v>155.322580645161</v>
      </c>
      <c r="O33" s="28">
        <v>60</v>
      </c>
      <c r="P33" s="33">
        <v>142848</v>
      </c>
      <c r="Q33" s="37">
        <v>142848</v>
      </c>
      <c r="R33" s="38" t="s">
        <v>301</v>
      </c>
      <c r="S33" s="38" t="s">
        <v>302</v>
      </c>
      <c r="T33" s="38" t="s">
        <v>301</v>
      </c>
      <c r="U33" s="38" t="s">
        <v>303</v>
      </c>
    </row>
    <row r="34" s="2" customFormat="1" ht="300" customHeight="1" spans="1:21">
      <c r="A34" s="11">
        <v>20</v>
      </c>
      <c r="B34" s="11" t="s">
        <v>20</v>
      </c>
      <c r="C34" s="14" t="s">
        <v>304</v>
      </c>
      <c r="D34" s="14" t="s">
        <v>305</v>
      </c>
      <c r="E34" s="13" t="s">
        <v>154</v>
      </c>
      <c r="F34" s="14" t="s">
        <v>304</v>
      </c>
      <c r="G34" s="16">
        <v>10</v>
      </c>
      <c r="H34" s="11" t="s">
        <v>306</v>
      </c>
      <c r="I34" s="27" t="s">
        <v>157</v>
      </c>
      <c r="J34" s="28">
        <v>0</v>
      </c>
      <c r="K34" s="19" t="s">
        <v>307</v>
      </c>
      <c r="L34" s="16">
        <v>6.45161290322581</v>
      </c>
      <c r="M34" s="28">
        <v>6.45161290322581</v>
      </c>
      <c r="N34" s="28">
        <v>150</v>
      </c>
      <c r="O34" s="28">
        <v>60</v>
      </c>
      <c r="P34" s="33">
        <v>3870.96774193548</v>
      </c>
      <c r="Q34" s="37">
        <v>3870</v>
      </c>
      <c r="R34" s="38" t="s">
        <v>308</v>
      </c>
      <c r="S34" s="38" t="s">
        <v>309</v>
      </c>
      <c r="T34" s="38" t="s">
        <v>308</v>
      </c>
      <c r="U34" s="38" t="s">
        <v>310</v>
      </c>
    </row>
    <row r="35" s="2" customFormat="1" ht="80" customHeight="1" spans="1:21">
      <c r="A35" s="11">
        <v>21</v>
      </c>
      <c r="B35" s="11" t="s">
        <v>21</v>
      </c>
      <c r="C35" s="14" t="s">
        <v>311</v>
      </c>
      <c r="D35" s="14" t="s">
        <v>312</v>
      </c>
      <c r="E35" s="17" t="s">
        <v>154</v>
      </c>
      <c r="F35" s="14" t="s">
        <v>313</v>
      </c>
      <c r="G35" s="16">
        <v>43.78</v>
      </c>
      <c r="H35" s="11" t="s">
        <v>291</v>
      </c>
      <c r="I35" s="27" t="s">
        <v>157</v>
      </c>
      <c r="J35" s="28">
        <v>0</v>
      </c>
      <c r="K35" s="19" t="s">
        <v>314</v>
      </c>
      <c r="L35" s="16">
        <v>5</v>
      </c>
      <c r="M35" s="28">
        <v>5</v>
      </c>
      <c r="N35" s="28">
        <v>80</v>
      </c>
      <c r="O35" s="28">
        <f t="shared" si="1"/>
        <v>40</v>
      </c>
      <c r="P35" s="33">
        <v>8756</v>
      </c>
      <c r="Q35" s="37">
        <v>61234</v>
      </c>
      <c r="R35" s="38" t="s">
        <v>315</v>
      </c>
      <c r="S35" s="38" t="s">
        <v>316</v>
      </c>
      <c r="T35" s="38" t="s">
        <v>315</v>
      </c>
      <c r="U35" s="38" t="s">
        <v>317</v>
      </c>
    </row>
    <row r="36" s="2" customFormat="1" ht="80" customHeight="1" spans="1:21">
      <c r="A36" s="11"/>
      <c r="B36" s="11"/>
      <c r="C36" s="14"/>
      <c r="D36" s="14"/>
      <c r="E36" s="20"/>
      <c r="F36" s="14" t="s">
        <v>318</v>
      </c>
      <c r="G36" s="16">
        <v>40.42</v>
      </c>
      <c r="H36" s="11" t="s">
        <v>319</v>
      </c>
      <c r="I36" s="27"/>
      <c r="J36" s="28"/>
      <c r="K36" s="19" t="s">
        <v>320</v>
      </c>
      <c r="L36" s="16">
        <v>4</v>
      </c>
      <c r="M36" s="28"/>
      <c r="N36" s="28">
        <v>80</v>
      </c>
      <c r="O36" s="28">
        <f t="shared" si="1"/>
        <v>40</v>
      </c>
      <c r="P36" s="33">
        <v>6467.2</v>
      </c>
      <c r="Q36" s="37"/>
      <c r="R36" s="38"/>
      <c r="S36" s="38"/>
      <c r="T36" s="38"/>
      <c r="U36" s="38"/>
    </row>
    <row r="37" s="2" customFormat="1" ht="80" customHeight="1" spans="1:21">
      <c r="A37" s="11"/>
      <c r="B37" s="11"/>
      <c r="C37" s="14"/>
      <c r="D37" s="14"/>
      <c r="E37" s="20"/>
      <c r="F37" s="14" t="s">
        <v>321</v>
      </c>
      <c r="G37" s="16">
        <v>42.15</v>
      </c>
      <c r="H37" s="11" t="s">
        <v>322</v>
      </c>
      <c r="I37" s="27"/>
      <c r="J37" s="28"/>
      <c r="K37" s="19" t="s">
        <v>320</v>
      </c>
      <c r="L37" s="16">
        <v>4</v>
      </c>
      <c r="M37" s="28"/>
      <c r="N37" s="28">
        <v>80</v>
      </c>
      <c r="O37" s="28">
        <f t="shared" si="1"/>
        <v>40</v>
      </c>
      <c r="P37" s="33">
        <v>6744</v>
      </c>
      <c r="Q37" s="37"/>
      <c r="R37" s="38"/>
      <c r="S37" s="38"/>
      <c r="T37" s="38"/>
      <c r="U37" s="38"/>
    </row>
    <row r="38" s="2" customFormat="1" ht="80" customHeight="1" spans="1:21">
      <c r="A38" s="11"/>
      <c r="B38" s="11"/>
      <c r="C38" s="14"/>
      <c r="D38" s="14"/>
      <c r="E38" s="20"/>
      <c r="F38" s="14" t="s">
        <v>323</v>
      </c>
      <c r="G38" s="16">
        <v>37.82</v>
      </c>
      <c r="H38" s="11" t="s">
        <v>324</v>
      </c>
      <c r="I38" s="27"/>
      <c r="J38" s="28"/>
      <c r="K38" s="19" t="s">
        <v>320</v>
      </c>
      <c r="L38" s="16">
        <v>4</v>
      </c>
      <c r="M38" s="28"/>
      <c r="N38" s="28">
        <v>80</v>
      </c>
      <c r="O38" s="28">
        <f t="shared" si="1"/>
        <v>40</v>
      </c>
      <c r="P38" s="33">
        <v>6051.2</v>
      </c>
      <c r="Q38" s="37"/>
      <c r="R38" s="38"/>
      <c r="S38" s="38"/>
      <c r="T38" s="38"/>
      <c r="U38" s="38"/>
    </row>
    <row r="39" s="2" customFormat="1" ht="80" customHeight="1" spans="1:21">
      <c r="A39" s="11"/>
      <c r="B39" s="11"/>
      <c r="C39" s="14"/>
      <c r="D39" s="14"/>
      <c r="E39" s="20"/>
      <c r="F39" s="14" t="s">
        <v>325</v>
      </c>
      <c r="G39" s="16">
        <v>39.94</v>
      </c>
      <c r="H39" s="11" t="s">
        <v>319</v>
      </c>
      <c r="I39" s="27"/>
      <c r="J39" s="28"/>
      <c r="K39" s="19" t="s">
        <v>320</v>
      </c>
      <c r="L39" s="16">
        <v>4</v>
      </c>
      <c r="M39" s="28"/>
      <c r="N39" s="28">
        <v>80</v>
      </c>
      <c r="O39" s="28">
        <f t="shared" si="1"/>
        <v>40</v>
      </c>
      <c r="P39" s="33">
        <v>6390.4</v>
      </c>
      <c r="Q39" s="37"/>
      <c r="R39" s="38"/>
      <c r="S39" s="38"/>
      <c r="T39" s="38"/>
      <c r="U39" s="38"/>
    </row>
    <row r="40" s="2" customFormat="1" ht="80" customHeight="1" spans="1:21">
      <c r="A40" s="11"/>
      <c r="B40" s="11"/>
      <c r="C40" s="14"/>
      <c r="D40" s="14"/>
      <c r="E40" s="20"/>
      <c r="F40" s="14" t="s">
        <v>326</v>
      </c>
      <c r="G40" s="16">
        <v>79.08</v>
      </c>
      <c r="H40" s="11" t="s">
        <v>327</v>
      </c>
      <c r="I40" s="27"/>
      <c r="J40" s="28"/>
      <c r="K40" s="19" t="s">
        <v>228</v>
      </c>
      <c r="L40" s="16">
        <v>2</v>
      </c>
      <c r="M40" s="28"/>
      <c r="N40" s="28">
        <v>80</v>
      </c>
      <c r="O40" s="28">
        <f t="shared" si="1"/>
        <v>40</v>
      </c>
      <c r="P40" s="33">
        <v>6326.4</v>
      </c>
      <c r="Q40" s="37"/>
      <c r="R40" s="38"/>
      <c r="S40" s="38"/>
      <c r="T40" s="38"/>
      <c r="U40" s="38"/>
    </row>
    <row r="41" s="2" customFormat="1" ht="80" customHeight="1" spans="1:21">
      <c r="A41" s="11"/>
      <c r="B41" s="11"/>
      <c r="C41" s="14"/>
      <c r="D41" s="14"/>
      <c r="E41" s="20"/>
      <c r="F41" s="14" t="s">
        <v>328</v>
      </c>
      <c r="G41" s="16">
        <v>75.1</v>
      </c>
      <c r="H41" s="11" t="s">
        <v>329</v>
      </c>
      <c r="I41" s="27"/>
      <c r="J41" s="28"/>
      <c r="K41" s="19" t="s">
        <v>320</v>
      </c>
      <c r="L41" s="16">
        <v>4</v>
      </c>
      <c r="M41" s="28"/>
      <c r="N41" s="28">
        <v>80</v>
      </c>
      <c r="O41" s="28">
        <f t="shared" si="1"/>
        <v>40</v>
      </c>
      <c r="P41" s="33">
        <v>12016</v>
      </c>
      <c r="Q41" s="37"/>
      <c r="R41" s="38"/>
      <c r="S41" s="38"/>
      <c r="T41" s="38"/>
      <c r="U41" s="38"/>
    </row>
    <row r="42" s="2" customFormat="1" ht="80" customHeight="1" spans="1:21">
      <c r="A42" s="11"/>
      <c r="B42" s="11"/>
      <c r="C42" s="14"/>
      <c r="D42" s="14"/>
      <c r="E42" s="18"/>
      <c r="F42" s="14" t="s">
        <v>330</v>
      </c>
      <c r="G42" s="16">
        <v>70.69</v>
      </c>
      <c r="H42" s="11" t="s">
        <v>272</v>
      </c>
      <c r="I42" s="27"/>
      <c r="J42" s="28"/>
      <c r="K42" s="19" t="s">
        <v>273</v>
      </c>
      <c r="L42" s="16">
        <v>3</v>
      </c>
      <c r="M42" s="28"/>
      <c r="N42" s="28">
        <v>80</v>
      </c>
      <c r="O42" s="28">
        <f t="shared" si="1"/>
        <v>40</v>
      </c>
      <c r="P42" s="33">
        <v>8482.8</v>
      </c>
      <c r="Q42" s="37"/>
      <c r="R42" s="38"/>
      <c r="S42" s="38"/>
      <c r="T42" s="38"/>
      <c r="U42" s="38"/>
    </row>
    <row r="43" s="2" customFormat="1" ht="300" customHeight="1" spans="1:21">
      <c r="A43" s="11">
        <v>22</v>
      </c>
      <c r="B43" s="11" t="s">
        <v>22</v>
      </c>
      <c r="C43" s="14" t="s">
        <v>331</v>
      </c>
      <c r="D43" s="14" t="s">
        <v>332</v>
      </c>
      <c r="E43" s="13" t="s">
        <v>154</v>
      </c>
      <c r="F43" s="14" t="s">
        <v>333</v>
      </c>
      <c r="G43" s="16">
        <v>283.37</v>
      </c>
      <c r="H43" s="11" t="s">
        <v>334</v>
      </c>
      <c r="I43" s="27" t="s">
        <v>157</v>
      </c>
      <c r="J43" s="28">
        <v>0</v>
      </c>
      <c r="K43" s="19" t="s">
        <v>335</v>
      </c>
      <c r="L43" s="16">
        <v>8.90322580645161</v>
      </c>
      <c r="M43" s="28">
        <v>8.90322580645161</v>
      </c>
      <c r="N43" s="28">
        <v>118</v>
      </c>
      <c r="O43" s="28">
        <f t="shared" si="1"/>
        <v>59</v>
      </c>
      <c r="P43" s="33">
        <v>148851.518709677</v>
      </c>
      <c r="Q43" s="37">
        <v>148851</v>
      </c>
      <c r="R43" s="38" t="s">
        <v>336</v>
      </c>
      <c r="S43" s="38" t="s">
        <v>337</v>
      </c>
      <c r="T43" s="38" t="s">
        <v>336</v>
      </c>
      <c r="U43" s="38" t="s">
        <v>338</v>
      </c>
    </row>
    <row r="44" s="2" customFormat="1" ht="150" customHeight="1" spans="1:21">
      <c r="A44" s="11">
        <v>23</v>
      </c>
      <c r="B44" s="11" t="s">
        <v>23</v>
      </c>
      <c r="C44" s="14" t="s">
        <v>339</v>
      </c>
      <c r="D44" s="14" t="s">
        <v>340</v>
      </c>
      <c r="E44" s="17" t="s">
        <v>154</v>
      </c>
      <c r="F44" s="14" t="s">
        <v>341</v>
      </c>
      <c r="G44" s="16">
        <v>21</v>
      </c>
      <c r="H44" s="11" t="s">
        <v>342</v>
      </c>
      <c r="I44" s="27" t="s">
        <v>157</v>
      </c>
      <c r="J44" s="28">
        <v>0</v>
      </c>
      <c r="K44" s="19" t="s">
        <v>342</v>
      </c>
      <c r="L44" s="16">
        <v>8.11290322580645</v>
      </c>
      <c r="M44" s="28">
        <v>15.6129032258065</v>
      </c>
      <c r="N44" s="28">
        <v>87.42</v>
      </c>
      <c r="O44" s="28">
        <f t="shared" si="1"/>
        <v>43.71</v>
      </c>
      <c r="P44" s="33">
        <v>7446.915</v>
      </c>
      <c r="Q44" s="37">
        <v>14331</v>
      </c>
      <c r="R44" s="38" t="s">
        <v>343</v>
      </c>
      <c r="S44" s="38" t="s">
        <v>344</v>
      </c>
      <c r="T44" s="38" t="s">
        <v>343</v>
      </c>
      <c r="U44" s="38" t="s">
        <v>345</v>
      </c>
    </row>
    <row r="45" s="2" customFormat="1" ht="150" customHeight="1" spans="1:21">
      <c r="A45" s="11"/>
      <c r="B45" s="11"/>
      <c r="C45" s="14"/>
      <c r="D45" s="14"/>
      <c r="E45" s="18"/>
      <c r="F45" s="14" t="s">
        <v>341</v>
      </c>
      <c r="G45" s="16">
        <v>21</v>
      </c>
      <c r="H45" s="11" t="s">
        <v>346</v>
      </c>
      <c r="I45" s="27"/>
      <c r="J45" s="28"/>
      <c r="K45" s="19" t="s">
        <v>346</v>
      </c>
      <c r="L45" s="16">
        <v>7.5</v>
      </c>
      <c r="M45" s="28"/>
      <c r="N45" s="28">
        <v>87.42</v>
      </c>
      <c r="O45" s="28">
        <f t="shared" si="1"/>
        <v>43.71</v>
      </c>
      <c r="P45" s="33">
        <v>6884.325</v>
      </c>
      <c r="Q45" s="37"/>
      <c r="R45" s="38"/>
      <c r="S45" s="38"/>
      <c r="T45" s="38"/>
      <c r="U45" s="38"/>
    </row>
    <row r="46" s="2" customFormat="1" ht="300" customHeight="1" spans="1:21">
      <c r="A46" s="11">
        <v>24</v>
      </c>
      <c r="B46" s="15" t="s">
        <v>24</v>
      </c>
      <c r="C46" s="14" t="s">
        <v>347</v>
      </c>
      <c r="D46" s="15" t="s">
        <v>348</v>
      </c>
      <c r="E46" s="13" t="s">
        <v>154</v>
      </c>
      <c r="F46" s="15" t="s">
        <v>349</v>
      </c>
      <c r="G46" s="19">
        <v>39.48</v>
      </c>
      <c r="H46" s="11" t="s">
        <v>350</v>
      </c>
      <c r="I46" s="27" t="s">
        <v>157</v>
      </c>
      <c r="J46" s="28">
        <v>0</v>
      </c>
      <c r="K46" s="32" t="s">
        <v>351</v>
      </c>
      <c r="L46" s="33">
        <v>10.1290322580645</v>
      </c>
      <c r="M46" s="28">
        <v>10.1290322580645</v>
      </c>
      <c r="N46" s="28">
        <v>87.42</v>
      </c>
      <c r="O46" s="28">
        <f t="shared" si="1"/>
        <v>43.71</v>
      </c>
      <c r="P46" s="34">
        <v>17479.3752</v>
      </c>
      <c r="Q46" s="37">
        <v>17479</v>
      </c>
      <c r="R46" s="38" t="s">
        <v>352</v>
      </c>
      <c r="S46" s="38" t="s">
        <v>353</v>
      </c>
      <c r="T46" s="38" t="s">
        <v>352</v>
      </c>
      <c r="U46" s="38" t="s">
        <v>354</v>
      </c>
    </row>
    <row r="47" s="2" customFormat="1" ht="300" customHeight="1" spans="1:21">
      <c r="A47" s="11">
        <v>25</v>
      </c>
      <c r="B47" s="15" t="s">
        <v>25</v>
      </c>
      <c r="C47" s="14" t="s">
        <v>355</v>
      </c>
      <c r="D47" s="15" t="s">
        <v>356</v>
      </c>
      <c r="E47" s="13" t="s">
        <v>154</v>
      </c>
      <c r="F47" s="14" t="s">
        <v>357</v>
      </c>
      <c r="G47" s="19">
        <v>190.22</v>
      </c>
      <c r="H47" s="11" t="s">
        <v>358</v>
      </c>
      <c r="I47" s="27" t="s">
        <v>157</v>
      </c>
      <c r="J47" s="28">
        <v>0</v>
      </c>
      <c r="K47" s="32" t="s">
        <v>359</v>
      </c>
      <c r="L47" s="33">
        <v>12</v>
      </c>
      <c r="M47" s="28">
        <v>12</v>
      </c>
      <c r="N47" s="28">
        <v>158</v>
      </c>
      <c r="O47" s="28">
        <v>60</v>
      </c>
      <c r="P47" s="34">
        <v>136958.4</v>
      </c>
      <c r="Q47" s="37">
        <v>136958</v>
      </c>
      <c r="R47" s="38" t="s">
        <v>360</v>
      </c>
      <c r="S47" s="38" t="s">
        <v>361</v>
      </c>
      <c r="T47" s="38" t="s">
        <v>360</v>
      </c>
      <c r="U47" s="38" t="s">
        <v>362</v>
      </c>
    </row>
    <row r="48" s="2" customFormat="1" ht="100.05" customHeight="1" spans="1:21">
      <c r="A48" s="11">
        <v>26</v>
      </c>
      <c r="B48" s="15" t="s">
        <v>26</v>
      </c>
      <c r="C48" s="14" t="s">
        <v>363</v>
      </c>
      <c r="D48" s="15" t="s">
        <v>364</v>
      </c>
      <c r="E48" s="17" t="s">
        <v>154</v>
      </c>
      <c r="F48" s="14" t="s">
        <v>365</v>
      </c>
      <c r="G48" s="19">
        <v>337.42</v>
      </c>
      <c r="H48" s="11" t="s">
        <v>366</v>
      </c>
      <c r="I48" s="27" t="s">
        <v>157</v>
      </c>
      <c r="J48" s="28">
        <v>0</v>
      </c>
      <c r="K48" s="32" t="s">
        <v>228</v>
      </c>
      <c r="L48" s="33">
        <v>2</v>
      </c>
      <c r="M48" s="28">
        <v>2</v>
      </c>
      <c r="N48" s="28">
        <v>80</v>
      </c>
      <c r="O48" s="28">
        <f t="shared" ref="O48:O50" si="2">N48*0.5</f>
        <v>40</v>
      </c>
      <c r="P48" s="34">
        <v>26993.6</v>
      </c>
      <c r="Q48" s="37">
        <v>48354</v>
      </c>
      <c r="R48" s="38" t="s">
        <v>367</v>
      </c>
      <c r="S48" s="38" t="s">
        <v>368</v>
      </c>
      <c r="T48" s="38" t="s">
        <v>367</v>
      </c>
      <c r="U48" s="38" t="s">
        <v>369</v>
      </c>
    </row>
    <row r="49" s="2" customFormat="1" ht="100.05" customHeight="1" spans="1:21">
      <c r="A49" s="11"/>
      <c r="B49" s="15"/>
      <c r="C49" s="14"/>
      <c r="D49" s="15"/>
      <c r="E49" s="20"/>
      <c r="F49" s="14" t="s">
        <v>370</v>
      </c>
      <c r="G49" s="19">
        <v>75.32</v>
      </c>
      <c r="H49" s="11" t="s">
        <v>366</v>
      </c>
      <c r="I49" s="27"/>
      <c r="J49" s="28"/>
      <c r="K49" s="32" t="s">
        <v>228</v>
      </c>
      <c r="L49" s="33">
        <v>2</v>
      </c>
      <c r="M49" s="28"/>
      <c r="N49" s="28">
        <v>80</v>
      </c>
      <c r="O49" s="28">
        <f t="shared" si="2"/>
        <v>40</v>
      </c>
      <c r="P49" s="34">
        <v>6025.6</v>
      </c>
      <c r="Q49" s="37"/>
      <c r="R49" s="38"/>
      <c r="S49" s="38"/>
      <c r="T49" s="38"/>
      <c r="U49" s="38"/>
    </row>
    <row r="50" s="2" customFormat="1" ht="100.05" customHeight="1" spans="1:21">
      <c r="A50" s="11"/>
      <c r="B50" s="15"/>
      <c r="C50" s="14"/>
      <c r="D50" s="15"/>
      <c r="E50" s="18"/>
      <c r="F50" s="14" t="s">
        <v>371</v>
      </c>
      <c r="G50" s="19">
        <v>191.69</v>
      </c>
      <c r="H50" s="11" t="s">
        <v>366</v>
      </c>
      <c r="I50" s="27"/>
      <c r="J50" s="28"/>
      <c r="K50" s="32" t="s">
        <v>228</v>
      </c>
      <c r="L50" s="33">
        <v>2</v>
      </c>
      <c r="M50" s="28"/>
      <c r="N50" s="28">
        <v>80</v>
      </c>
      <c r="O50" s="28">
        <f t="shared" si="2"/>
        <v>40</v>
      </c>
      <c r="P50" s="34">
        <v>15335.2</v>
      </c>
      <c r="Q50" s="37"/>
      <c r="R50" s="38"/>
      <c r="S50" s="38"/>
      <c r="T50" s="38"/>
      <c r="U50" s="38"/>
    </row>
    <row r="51" s="2" customFormat="1" ht="300" customHeight="1" spans="1:21">
      <c r="A51" s="11">
        <v>27</v>
      </c>
      <c r="B51" s="15" t="s">
        <v>27</v>
      </c>
      <c r="C51" s="14" t="s">
        <v>289</v>
      </c>
      <c r="D51" s="15" t="s">
        <v>372</v>
      </c>
      <c r="E51" s="13" t="s">
        <v>154</v>
      </c>
      <c r="F51" s="14" t="s">
        <v>373</v>
      </c>
      <c r="G51" s="19">
        <v>10</v>
      </c>
      <c r="H51" s="11" t="s">
        <v>374</v>
      </c>
      <c r="I51" s="27" t="s">
        <v>157</v>
      </c>
      <c r="J51" s="28">
        <v>0</v>
      </c>
      <c r="K51" s="32" t="s">
        <v>359</v>
      </c>
      <c r="L51" s="33">
        <v>12</v>
      </c>
      <c r="M51" s="28">
        <v>12</v>
      </c>
      <c r="N51" s="28">
        <v>150</v>
      </c>
      <c r="O51" s="28">
        <v>60</v>
      </c>
      <c r="P51" s="34">
        <v>7200</v>
      </c>
      <c r="Q51" s="37">
        <v>7200</v>
      </c>
      <c r="R51" s="38" t="s">
        <v>375</v>
      </c>
      <c r="S51" s="38" t="s">
        <v>376</v>
      </c>
      <c r="T51" s="38" t="s">
        <v>375</v>
      </c>
      <c r="U51" s="38" t="s">
        <v>377</v>
      </c>
    </row>
    <row r="52" s="2" customFormat="1" ht="300" customHeight="1" spans="1:21">
      <c r="A52" s="11">
        <v>28</v>
      </c>
      <c r="B52" s="15" t="s">
        <v>28</v>
      </c>
      <c r="C52" s="14" t="s">
        <v>378</v>
      </c>
      <c r="D52" s="15" t="s">
        <v>379</v>
      </c>
      <c r="E52" s="13" t="s">
        <v>154</v>
      </c>
      <c r="F52" s="14" t="s">
        <v>380</v>
      </c>
      <c r="G52" s="19">
        <v>10</v>
      </c>
      <c r="H52" s="11" t="s">
        <v>381</v>
      </c>
      <c r="I52" s="27" t="s">
        <v>157</v>
      </c>
      <c r="J52" s="28">
        <v>0</v>
      </c>
      <c r="K52" s="32" t="s">
        <v>382</v>
      </c>
      <c r="L52" s="33">
        <v>13</v>
      </c>
      <c r="M52" s="28">
        <v>13</v>
      </c>
      <c r="N52" s="28">
        <v>150</v>
      </c>
      <c r="O52" s="28">
        <v>60</v>
      </c>
      <c r="P52" s="34">
        <v>7800</v>
      </c>
      <c r="Q52" s="37">
        <v>7800</v>
      </c>
      <c r="R52" s="38" t="s">
        <v>383</v>
      </c>
      <c r="S52" s="38" t="s">
        <v>384</v>
      </c>
      <c r="T52" s="38" t="s">
        <v>383</v>
      </c>
      <c r="U52" s="38" t="s">
        <v>385</v>
      </c>
    </row>
    <row r="53" s="2" customFormat="1" ht="150" customHeight="1" spans="1:21">
      <c r="A53" s="11">
        <v>29</v>
      </c>
      <c r="B53" s="15" t="s">
        <v>29</v>
      </c>
      <c r="C53" s="14" t="s">
        <v>386</v>
      </c>
      <c r="D53" s="15" t="s">
        <v>387</v>
      </c>
      <c r="E53" s="24" t="s">
        <v>154</v>
      </c>
      <c r="F53" s="14" t="s">
        <v>388</v>
      </c>
      <c r="G53" s="19">
        <v>50</v>
      </c>
      <c r="H53" s="11" t="s">
        <v>389</v>
      </c>
      <c r="I53" s="27" t="s">
        <v>220</v>
      </c>
      <c r="J53" s="28">
        <v>4.03571428571429</v>
      </c>
      <c r="K53" s="32" t="s">
        <v>390</v>
      </c>
      <c r="L53" s="33">
        <v>7.93103448275862</v>
      </c>
      <c r="M53" s="28">
        <v>16.0357142857143</v>
      </c>
      <c r="N53" s="28">
        <v>120</v>
      </c>
      <c r="O53" s="28">
        <v>60</v>
      </c>
      <c r="P53" s="34">
        <v>23793.1034482759</v>
      </c>
      <c r="Q53" s="37">
        <v>36000</v>
      </c>
      <c r="R53" s="38" t="s">
        <v>391</v>
      </c>
      <c r="S53" s="38" t="s">
        <v>392</v>
      </c>
      <c r="T53" s="38" t="s">
        <v>391</v>
      </c>
      <c r="U53" s="38" t="s">
        <v>393</v>
      </c>
    </row>
    <row r="54" s="2" customFormat="1" ht="150" customHeight="1" spans="1:21">
      <c r="A54" s="11"/>
      <c r="B54" s="15"/>
      <c r="C54" s="14"/>
      <c r="D54" s="15"/>
      <c r="E54" s="25"/>
      <c r="F54" s="14" t="s">
        <v>388</v>
      </c>
      <c r="G54" s="19">
        <v>50</v>
      </c>
      <c r="H54" s="11" t="s">
        <v>394</v>
      </c>
      <c r="I54" s="27"/>
      <c r="J54" s="28"/>
      <c r="K54" s="32" t="s">
        <v>395</v>
      </c>
      <c r="L54" s="33">
        <v>4.06896551724138</v>
      </c>
      <c r="M54" s="28"/>
      <c r="N54" s="28">
        <v>120</v>
      </c>
      <c r="O54" s="28">
        <v>60</v>
      </c>
      <c r="P54" s="34">
        <v>12206.8965517241</v>
      </c>
      <c r="Q54" s="37"/>
      <c r="R54" s="38"/>
      <c r="S54" s="38"/>
      <c r="T54" s="38"/>
      <c r="U54" s="38"/>
    </row>
    <row r="55" s="2" customFormat="1" ht="150" customHeight="1" spans="1:21">
      <c r="A55" s="11">
        <v>30</v>
      </c>
      <c r="B55" s="15" t="s">
        <v>30</v>
      </c>
      <c r="C55" s="14" t="s">
        <v>396</v>
      </c>
      <c r="D55" s="15" t="s">
        <v>397</v>
      </c>
      <c r="E55" s="17" t="s">
        <v>154</v>
      </c>
      <c r="F55" s="14" t="s">
        <v>398</v>
      </c>
      <c r="G55" s="19">
        <v>118</v>
      </c>
      <c r="H55" s="11" t="s">
        <v>399</v>
      </c>
      <c r="I55" s="27" t="s">
        <v>220</v>
      </c>
      <c r="J55" s="28">
        <v>10.7741935483871</v>
      </c>
      <c r="K55" s="32" t="s">
        <v>400</v>
      </c>
      <c r="L55" s="33">
        <v>0.9</v>
      </c>
      <c r="M55" s="28">
        <v>22.7741935483871</v>
      </c>
      <c r="N55" s="28">
        <v>118.5</v>
      </c>
      <c r="O55" s="28">
        <f>N55*0.5</f>
        <v>59.25</v>
      </c>
      <c r="P55" s="34">
        <v>6292.35</v>
      </c>
      <c r="Q55" s="37">
        <v>73569</v>
      </c>
      <c r="R55" s="38" t="s">
        <v>401</v>
      </c>
      <c r="S55" s="38" t="s">
        <v>402</v>
      </c>
      <c r="T55" s="38" t="s">
        <v>401</v>
      </c>
      <c r="U55" s="38" t="s">
        <v>403</v>
      </c>
    </row>
    <row r="56" s="2" customFormat="1" ht="150" customHeight="1" spans="1:21">
      <c r="A56" s="11"/>
      <c r="B56" s="15"/>
      <c r="C56" s="14"/>
      <c r="D56" s="15"/>
      <c r="E56" s="20"/>
      <c r="F56" s="14" t="s">
        <v>398</v>
      </c>
      <c r="G56" s="19">
        <v>118</v>
      </c>
      <c r="H56" s="11" t="s">
        <v>399</v>
      </c>
      <c r="I56" s="27"/>
      <c r="J56" s="28"/>
      <c r="K56" s="32" t="s">
        <v>404</v>
      </c>
      <c r="L56" s="33">
        <v>2.51612903225806</v>
      </c>
      <c r="M56" s="28"/>
      <c r="N56" s="28">
        <v>118.5</v>
      </c>
      <c r="O56" s="28">
        <f>N56*0.5</f>
        <v>59.25</v>
      </c>
      <c r="P56" s="34">
        <v>17591.5161290323</v>
      </c>
      <c r="Q56" s="37"/>
      <c r="R56" s="38"/>
      <c r="S56" s="38"/>
      <c r="T56" s="38"/>
      <c r="U56" s="38"/>
    </row>
    <row r="57" s="2" customFormat="1" ht="150" customHeight="1" spans="1:21">
      <c r="A57" s="11"/>
      <c r="B57" s="15"/>
      <c r="C57" s="14"/>
      <c r="D57" s="15"/>
      <c r="E57" s="20"/>
      <c r="F57" s="14" t="s">
        <v>398</v>
      </c>
      <c r="G57" s="19">
        <v>118</v>
      </c>
      <c r="H57" s="11" t="s">
        <v>399</v>
      </c>
      <c r="I57" s="27"/>
      <c r="J57" s="28"/>
      <c r="K57" s="32" t="s">
        <v>206</v>
      </c>
      <c r="L57" s="33">
        <v>6.48387096774194</v>
      </c>
      <c r="M57" s="28"/>
      <c r="N57" s="28">
        <v>120</v>
      </c>
      <c r="O57" s="28">
        <v>60</v>
      </c>
      <c r="P57" s="34">
        <v>45905.8064516129</v>
      </c>
      <c r="Q57" s="37"/>
      <c r="R57" s="38"/>
      <c r="S57" s="38"/>
      <c r="T57" s="38"/>
      <c r="U57" s="38"/>
    </row>
    <row r="58" s="2" customFormat="1" ht="150" customHeight="1" spans="1:21">
      <c r="A58" s="11"/>
      <c r="B58" s="15"/>
      <c r="C58" s="14"/>
      <c r="D58" s="15"/>
      <c r="E58" s="18"/>
      <c r="F58" s="14" t="s">
        <v>405</v>
      </c>
      <c r="G58" s="19">
        <v>30</v>
      </c>
      <c r="H58" s="11" t="s">
        <v>406</v>
      </c>
      <c r="I58" s="27"/>
      <c r="J58" s="28"/>
      <c r="K58" s="32" t="s">
        <v>407</v>
      </c>
      <c r="L58" s="33">
        <v>2.1</v>
      </c>
      <c r="M58" s="28"/>
      <c r="N58" s="28">
        <v>158.38</v>
      </c>
      <c r="O58" s="28">
        <v>60</v>
      </c>
      <c r="P58" s="34">
        <v>3780</v>
      </c>
      <c r="Q58" s="37"/>
      <c r="R58" s="38"/>
      <c r="S58" s="38"/>
      <c r="T58" s="38"/>
      <c r="U58" s="38"/>
    </row>
    <row r="59" s="2" customFormat="1" ht="300" customHeight="1" spans="1:21">
      <c r="A59" s="11">
        <v>31</v>
      </c>
      <c r="B59" s="11" t="s">
        <v>31</v>
      </c>
      <c r="C59" s="14" t="s">
        <v>408</v>
      </c>
      <c r="D59" s="14" t="s">
        <v>409</v>
      </c>
      <c r="E59" s="17" t="s">
        <v>154</v>
      </c>
      <c r="F59" s="14" t="s">
        <v>408</v>
      </c>
      <c r="G59" s="16">
        <v>8</v>
      </c>
      <c r="H59" s="11" t="s">
        <v>410</v>
      </c>
      <c r="I59" s="27" t="s">
        <v>157</v>
      </c>
      <c r="J59" s="28">
        <v>0</v>
      </c>
      <c r="K59" s="19" t="s">
        <v>411</v>
      </c>
      <c r="L59" s="16">
        <v>10</v>
      </c>
      <c r="M59" s="28">
        <v>10</v>
      </c>
      <c r="N59" s="28">
        <v>187.5</v>
      </c>
      <c r="O59" s="28">
        <v>60</v>
      </c>
      <c r="P59" s="33">
        <v>4800</v>
      </c>
      <c r="Q59" s="37">
        <v>4800</v>
      </c>
      <c r="R59" s="38" t="s">
        <v>412</v>
      </c>
      <c r="S59" s="38" t="s">
        <v>413</v>
      </c>
      <c r="T59" s="38" t="s">
        <v>412</v>
      </c>
      <c r="U59" s="38" t="s">
        <v>414</v>
      </c>
    </row>
    <row r="60" s="2" customFormat="1" ht="300" customHeight="1" spans="1:21">
      <c r="A60" s="11">
        <v>32</v>
      </c>
      <c r="B60" s="11" t="s">
        <v>32</v>
      </c>
      <c r="C60" s="14" t="s">
        <v>415</v>
      </c>
      <c r="D60" s="14" t="s">
        <v>416</v>
      </c>
      <c r="E60" s="13" t="s">
        <v>154</v>
      </c>
      <c r="F60" s="14" t="s">
        <v>415</v>
      </c>
      <c r="G60" s="16">
        <v>8</v>
      </c>
      <c r="H60" s="11" t="s">
        <v>417</v>
      </c>
      <c r="I60" s="27" t="s">
        <v>157</v>
      </c>
      <c r="J60" s="28">
        <v>0</v>
      </c>
      <c r="K60" s="19" t="s">
        <v>418</v>
      </c>
      <c r="L60" s="16">
        <v>5.97741935483871</v>
      </c>
      <c r="M60" s="28">
        <v>5.97741935483871</v>
      </c>
      <c r="N60" s="28">
        <v>187.5</v>
      </c>
      <c r="O60" s="28">
        <v>60</v>
      </c>
      <c r="P60" s="33">
        <v>2869.16129032258</v>
      </c>
      <c r="Q60" s="37">
        <v>2869</v>
      </c>
      <c r="R60" s="38" t="s">
        <v>419</v>
      </c>
      <c r="S60" s="38" t="s">
        <v>420</v>
      </c>
      <c r="T60" s="38" t="s">
        <v>419</v>
      </c>
      <c r="U60" s="38" t="s">
        <v>421</v>
      </c>
    </row>
    <row r="61" s="2" customFormat="1" ht="300" customHeight="1" spans="1:21">
      <c r="A61" s="11">
        <v>33</v>
      </c>
      <c r="B61" s="11" t="s">
        <v>33</v>
      </c>
      <c r="C61" s="14" t="s">
        <v>422</v>
      </c>
      <c r="D61" s="14" t="s">
        <v>423</v>
      </c>
      <c r="E61" s="13" t="s">
        <v>154</v>
      </c>
      <c r="F61" s="14" t="s">
        <v>422</v>
      </c>
      <c r="G61" s="16">
        <v>98</v>
      </c>
      <c r="H61" s="11" t="s">
        <v>424</v>
      </c>
      <c r="I61" s="27" t="s">
        <v>157</v>
      </c>
      <c r="J61" s="28">
        <v>0</v>
      </c>
      <c r="K61" s="19" t="s">
        <v>425</v>
      </c>
      <c r="L61" s="16">
        <v>11</v>
      </c>
      <c r="M61" s="28">
        <v>11</v>
      </c>
      <c r="N61" s="28">
        <v>173.469387755102</v>
      </c>
      <c r="O61" s="28">
        <v>60</v>
      </c>
      <c r="P61" s="33">
        <v>64680</v>
      </c>
      <c r="Q61" s="37">
        <v>64680</v>
      </c>
      <c r="R61" s="38" t="s">
        <v>426</v>
      </c>
      <c r="S61" s="38" t="s">
        <v>427</v>
      </c>
      <c r="T61" s="38" t="s">
        <v>426</v>
      </c>
      <c r="U61" s="38" t="s">
        <v>428</v>
      </c>
    </row>
    <row r="62" s="2" customFormat="1" ht="300" customHeight="1" spans="1:21">
      <c r="A62" s="11">
        <v>34</v>
      </c>
      <c r="B62" s="11" t="s">
        <v>34</v>
      </c>
      <c r="C62" s="11" t="s">
        <v>429</v>
      </c>
      <c r="D62" s="11" t="s">
        <v>430</v>
      </c>
      <c r="E62" s="13" t="s">
        <v>154</v>
      </c>
      <c r="F62" s="11" t="s">
        <v>431</v>
      </c>
      <c r="G62" s="26">
        <v>399.89</v>
      </c>
      <c r="H62" s="11" t="s">
        <v>432</v>
      </c>
      <c r="I62" s="27" t="s">
        <v>220</v>
      </c>
      <c r="J62" s="28">
        <v>7</v>
      </c>
      <c r="K62" s="27" t="s">
        <v>359</v>
      </c>
      <c r="L62" s="26">
        <v>12</v>
      </c>
      <c r="M62" s="28">
        <v>19</v>
      </c>
      <c r="N62" s="28">
        <v>173</v>
      </c>
      <c r="O62" s="28">
        <v>60</v>
      </c>
      <c r="P62" s="35">
        <v>287920.8</v>
      </c>
      <c r="Q62" s="37">
        <v>287920</v>
      </c>
      <c r="R62" s="38" t="s">
        <v>433</v>
      </c>
      <c r="S62" s="38" t="s">
        <v>434</v>
      </c>
      <c r="T62" s="38" t="s">
        <v>433</v>
      </c>
      <c r="U62" s="38" t="s">
        <v>435</v>
      </c>
    </row>
    <row r="63" s="2" customFormat="1" ht="300" customHeight="1" spans="1:21">
      <c r="A63" s="11">
        <v>35</v>
      </c>
      <c r="B63" s="11" t="s">
        <v>35</v>
      </c>
      <c r="C63" s="11" t="s">
        <v>436</v>
      </c>
      <c r="D63" s="11" t="s">
        <v>437</v>
      </c>
      <c r="E63" s="13" t="s">
        <v>154</v>
      </c>
      <c r="F63" s="11" t="s">
        <v>438</v>
      </c>
      <c r="G63" s="26">
        <v>10</v>
      </c>
      <c r="H63" s="11" t="s">
        <v>257</v>
      </c>
      <c r="I63" s="27" t="s">
        <v>157</v>
      </c>
      <c r="J63" s="28">
        <v>0</v>
      </c>
      <c r="K63" s="27" t="s">
        <v>206</v>
      </c>
      <c r="L63" s="26">
        <v>6.48387096774194</v>
      </c>
      <c r="M63" s="28">
        <v>6.48387096774194</v>
      </c>
      <c r="N63" s="28">
        <v>150</v>
      </c>
      <c r="O63" s="28">
        <v>60</v>
      </c>
      <c r="P63" s="35">
        <v>3890.32258064516</v>
      </c>
      <c r="Q63" s="37">
        <v>3890</v>
      </c>
      <c r="R63" s="38" t="s">
        <v>439</v>
      </c>
      <c r="S63" s="38" t="s">
        <v>440</v>
      </c>
      <c r="T63" s="38" t="s">
        <v>439</v>
      </c>
      <c r="U63" s="38" t="s">
        <v>441</v>
      </c>
    </row>
    <row r="64" s="2" customFormat="1" ht="150" customHeight="1" spans="1:21">
      <c r="A64" s="11">
        <v>36</v>
      </c>
      <c r="B64" s="11" t="s">
        <v>36</v>
      </c>
      <c r="C64" s="11" t="s">
        <v>442</v>
      </c>
      <c r="D64" s="11" t="s">
        <v>443</v>
      </c>
      <c r="E64" s="17" t="s">
        <v>154</v>
      </c>
      <c r="F64" s="11" t="s">
        <v>444</v>
      </c>
      <c r="G64" s="26">
        <v>10</v>
      </c>
      <c r="H64" s="11" t="s">
        <v>445</v>
      </c>
      <c r="I64" s="27" t="s">
        <v>157</v>
      </c>
      <c r="J64" s="28">
        <v>0</v>
      </c>
      <c r="K64" s="27" t="s">
        <v>446</v>
      </c>
      <c r="L64" s="26">
        <v>3</v>
      </c>
      <c r="M64" s="28">
        <v>6.48387096774194</v>
      </c>
      <c r="N64" s="28">
        <v>150</v>
      </c>
      <c r="O64" s="28">
        <v>60</v>
      </c>
      <c r="P64" s="35">
        <v>1800</v>
      </c>
      <c r="Q64" s="37">
        <v>3890</v>
      </c>
      <c r="R64" s="38" t="s">
        <v>439</v>
      </c>
      <c r="S64" s="38" t="s">
        <v>440</v>
      </c>
      <c r="T64" s="38" t="s">
        <v>439</v>
      </c>
      <c r="U64" s="38" t="s">
        <v>441</v>
      </c>
    </row>
    <row r="65" s="2" customFormat="1" ht="150" customHeight="1" spans="1:21">
      <c r="A65" s="11"/>
      <c r="B65" s="11"/>
      <c r="C65" s="11"/>
      <c r="D65" s="11"/>
      <c r="E65" s="18"/>
      <c r="F65" s="11" t="s">
        <v>438</v>
      </c>
      <c r="G65" s="26">
        <v>10</v>
      </c>
      <c r="H65" s="11" t="s">
        <v>257</v>
      </c>
      <c r="I65" s="27"/>
      <c r="J65" s="28"/>
      <c r="K65" s="27" t="s">
        <v>447</v>
      </c>
      <c r="L65" s="26">
        <v>3.48387096774194</v>
      </c>
      <c r="M65" s="28"/>
      <c r="N65" s="28">
        <v>150</v>
      </c>
      <c r="O65" s="28">
        <v>60</v>
      </c>
      <c r="P65" s="35">
        <v>2090.32258064516</v>
      </c>
      <c r="Q65" s="37"/>
      <c r="R65" s="38"/>
      <c r="S65" s="38"/>
      <c r="T65" s="38"/>
      <c r="U65" s="38"/>
    </row>
    <row r="66" s="2" customFormat="1" ht="300" customHeight="1" spans="1:21">
      <c r="A66" s="11">
        <v>37</v>
      </c>
      <c r="B66" s="11" t="s">
        <v>37</v>
      </c>
      <c r="C66" s="11" t="s">
        <v>448</v>
      </c>
      <c r="D66" s="11" t="s">
        <v>449</v>
      </c>
      <c r="E66" s="13" t="s">
        <v>154</v>
      </c>
      <c r="F66" s="11" t="s">
        <v>450</v>
      </c>
      <c r="G66" s="26">
        <v>10</v>
      </c>
      <c r="H66" s="11" t="s">
        <v>451</v>
      </c>
      <c r="I66" s="27" t="s">
        <v>157</v>
      </c>
      <c r="J66" s="28">
        <v>0</v>
      </c>
      <c r="K66" s="27" t="s">
        <v>452</v>
      </c>
      <c r="L66" s="26">
        <v>15.8387096774194</v>
      </c>
      <c r="M66" s="28">
        <v>15.8387096774194</v>
      </c>
      <c r="N66" s="28">
        <v>150</v>
      </c>
      <c r="O66" s="28">
        <v>60</v>
      </c>
      <c r="P66" s="35">
        <v>9503.22580645161</v>
      </c>
      <c r="Q66" s="37">
        <v>9503</v>
      </c>
      <c r="R66" s="38" t="s">
        <v>453</v>
      </c>
      <c r="S66" s="38" t="s">
        <v>454</v>
      </c>
      <c r="T66" s="38" t="s">
        <v>453</v>
      </c>
      <c r="U66" s="38" t="s">
        <v>455</v>
      </c>
    </row>
    <row r="67" s="2" customFormat="1" ht="120" customHeight="1" spans="1:21">
      <c r="A67" s="11">
        <v>38</v>
      </c>
      <c r="B67" s="11" t="s">
        <v>38</v>
      </c>
      <c r="C67" s="11" t="s">
        <v>456</v>
      </c>
      <c r="D67" s="11" t="s">
        <v>457</v>
      </c>
      <c r="E67" s="17" t="s">
        <v>154</v>
      </c>
      <c r="F67" s="11" t="s">
        <v>458</v>
      </c>
      <c r="G67" s="26">
        <v>83.65</v>
      </c>
      <c r="H67" s="11" t="s">
        <v>272</v>
      </c>
      <c r="I67" s="27" t="s">
        <v>157</v>
      </c>
      <c r="J67" s="28">
        <v>0</v>
      </c>
      <c r="K67" s="27" t="s">
        <v>273</v>
      </c>
      <c r="L67" s="26">
        <v>3</v>
      </c>
      <c r="M67" s="28">
        <v>5</v>
      </c>
      <c r="N67" s="28">
        <v>80</v>
      </c>
      <c r="O67" s="28">
        <f t="shared" ref="O67:O71" si="3">N67*0.5</f>
        <v>40</v>
      </c>
      <c r="P67" s="35">
        <v>10038</v>
      </c>
      <c r="Q67" s="37">
        <v>75522</v>
      </c>
      <c r="R67" s="38" t="s">
        <v>459</v>
      </c>
      <c r="S67" s="38" t="s">
        <v>460</v>
      </c>
      <c r="T67" s="38" t="s">
        <v>459</v>
      </c>
      <c r="U67" s="38" t="s">
        <v>461</v>
      </c>
    </row>
    <row r="68" s="2" customFormat="1" ht="120" customHeight="1" spans="1:21">
      <c r="A68" s="11"/>
      <c r="B68" s="11"/>
      <c r="C68" s="11"/>
      <c r="D68" s="11"/>
      <c r="E68" s="20"/>
      <c r="F68" s="11" t="s">
        <v>462</v>
      </c>
      <c r="G68" s="26">
        <v>41.4</v>
      </c>
      <c r="H68" s="11" t="s">
        <v>463</v>
      </c>
      <c r="I68" s="27"/>
      <c r="J68" s="28"/>
      <c r="K68" s="27" t="s">
        <v>314</v>
      </c>
      <c r="L68" s="26">
        <v>5</v>
      </c>
      <c r="M68" s="28"/>
      <c r="N68" s="28">
        <v>80</v>
      </c>
      <c r="O68" s="28">
        <f t="shared" si="3"/>
        <v>40</v>
      </c>
      <c r="P68" s="35">
        <v>8280</v>
      </c>
      <c r="Q68" s="37"/>
      <c r="R68" s="38"/>
      <c r="S68" s="38"/>
      <c r="T68" s="38"/>
      <c r="U68" s="38"/>
    </row>
    <row r="69" s="2" customFormat="1" ht="120" customHeight="1" spans="1:21">
      <c r="A69" s="11"/>
      <c r="B69" s="11"/>
      <c r="C69" s="11"/>
      <c r="D69" s="11"/>
      <c r="E69" s="20"/>
      <c r="F69" s="11" t="s">
        <v>464</v>
      </c>
      <c r="G69" s="26">
        <v>127.38</v>
      </c>
      <c r="H69" s="11" t="s">
        <v>329</v>
      </c>
      <c r="I69" s="27"/>
      <c r="J69" s="28"/>
      <c r="K69" s="27" t="s">
        <v>320</v>
      </c>
      <c r="L69" s="26">
        <v>4</v>
      </c>
      <c r="M69" s="28"/>
      <c r="N69" s="28">
        <v>80</v>
      </c>
      <c r="O69" s="28">
        <f t="shared" si="3"/>
        <v>40</v>
      </c>
      <c r="P69" s="35">
        <v>20380.8</v>
      </c>
      <c r="Q69" s="37"/>
      <c r="R69" s="38"/>
      <c r="S69" s="38"/>
      <c r="T69" s="38"/>
      <c r="U69" s="38"/>
    </row>
    <row r="70" s="2" customFormat="1" ht="120" customHeight="1" spans="1:21">
      <c r="A70" s="11"/>
      <c r="B70" s="11"/>
      <c r="C70" s="11"/>
      <c r="D70" s="11"/>
      <c r="E70" s="20"/>
      <c r="F70" s="11" t="s">
        <v>465</v>
      </c>
      <c r="G70" s="26">
        <v>90.77</v>
      </c>
      <c r="H70" s="11" t="s">
        <v>466</v>
      </c>
      <c r="I70" s="27"/>
      <c r="J70" s="28"/>
      <c r="K70" s="27" t="s">
        <v>314</v>
      </c>
      <c r="L70" s="26">
        <v>5</v>
      </c>
      <c r="M70" s="28"/>
      <c r="N70" s="28">
        <v>80</v>
      </c>
      <c r="O70" s="28">
        <f t="shared" si="3"/>
        <v>40</v>
      </c>
      <c r="P70" s="35">
        <v>18154</v>
      </c>
      <c r="Q70" s="37"/>
      <c r="R70" s="38"/>
      <c r="S70" s="38"/>
      <c r="T70" s="38"/>
      <c r="U70" s="38"/>
    </row>
    <row r="71" s="2" customFormat="1" ht="120" customHeight="1" spans="1:21">
      <c r="A71" s="11"/>
      <c r="B71" s="11"/>
      <c r="C71" s="11"/>
      <c r="D71" s="11"/>
      <c r="E71" s="18"/>
      <c r="F71" s="11" t="s">
        <v>467</v>
      </c>
      <c r="G71" s="26">
        <v>93.35</v>
      </c>
      <c r="H71" s="11" t="s">
        <v>291</v>
      </c>
      <c r="I71" s="27"/>
      <c r="J71" s="28"/>
      <c r="K71" s="27" t="s">
        <v>314</v>
      </c>
      <c r="L71" s="26">
        <v>5</v>
      </c>
      <c r="M71" s="28"/>
      <c r="N71" s="28">
        <v>80</v>
      </c>
      <c r="O71" s="28">
        <f t="shared" si="3"/>
        <v>40</v>
      </c>
      <c r="P71" s="35">
        <v>18670</v>
      </c>
      <c r="Q71" s="37"/>
      <c r="R71" s="38"/>
      <c r="S71" s="38"/>
      <c r="T71" s="38"/>
      <c r="U71" s="38"/>
    </row>
    <row r="72" s="2" customFormat="1" ht="300" customHeight="1" spans="1:21">
      <c r="A72" s="11">
        <v>39</v>
      </c>
      <c r="B72" s="11" t="s">
        <v>39</v>
      </c>
      <c r="C72" s="14" t="s">
        <v>468</v>
      </c>
      <c r="D72" s="14" t="s">
        <v>469</v>
      </c>
      <c r="E72" s="14" t="s">
        <v>154</v>
      </c>
      <c r="F72" s="14" t="s">
        <v>470</v>
      </c>
      <c r="G72" s="16">
        <v>8</v>
      </c>
      <c r="H72" s="11" t="s">
        <v>417</v>
      </c>
      <c r="I72" s="27" t="s">
        <v>157</v>
      </c>
      <c r="J72" s="28">
        <v>0</v>
      </c>
      <c r="K72" s="19" t="s">
        <v>418</v>
      </c>
      <c r="L72" s="16">
        <v>5.97741935483871</v>
      </c>
      <c r="M72" s="28">
        <v>5.97741935483871</v>
      </c>
      <c r="N72" s="28">
        <v>139</v>
      </c>
      <c r="O72" s="28">
        <v>60</v>
      </c>
      <c r="P72" s="33">
        <v>2869.16129032258</v>
      </c>
      <c r="Q72" s="37">
        <v>2869</v>
      </c>
      <c r="R72" s="38" t="s">
        <v>419</v>
      </c>
      <c r="S72" s="38" t="s">
        <v>420</v>
      </c>
      <c r="T72" s="38" t="s">
        <v>419</v>
      </c>
      <c r="U72" s="38" t="s">
        <v>421</v>
      </c>
    </row>
    <row r="73" s="2" customFormat="1" ht="150" customHeight="1" spans="1:21">
      <c r="A73" s="11">
        <v>40</v>
      </c>
      <c r="B73" s="11" t="s">
        <v>40</v>
      </c>
      <c r="C73" s="14" t="s">
        <v>471</v>
      </c>
      <c r="D73" s="11" t="s">
        <v>472</v>
      </c>
      <c r="E73" s="17" t="s">
        <v>154</v>
      </c>
      <c r="F73" s="11" t="s">
        <v>473</v>
      </c>
      <c r="G73" s="26">
        <v>297.78</v>
      </c>
      <c r="H73" s="11" t="s">
        <v>474</v>
      </c>
      <c r="I73" s="27" t="s">
        <v>220</v>
      </c>
      <c r="J73" s="28">
        <v>9.5</v>
      </c>
      <c r="K73" s="19" t="s">
        <v>475</v>
      </c>
      <c r="L73" s="16">
        <v>7</v>
      </c>
      <c r="M73" s="28">
        <v>21.5</v>
      </c>
      <c r="N73" s="28">
        <v>139</v>
      </c>
      <c r="O73" s="28">
        <v>60</v>
      </c>
      <c r="P73" s="33">
        <v>125067.6</v>
      </c>
      <c r="Q73" s="37">
        <v>300000</v>
      </c>
      <c r="R73" s="38" t="s">
        <v>476</v>
      </c>
      <c r="S73" s="38" t="s">
        <v>477</v>
      </c>
      <c r="T73" s="38" t="s">
        <v>476</v>
      </c>
      <c r="U73" s="38" t="s">
        <v>478</v>
      </c>
    </row>
    <row r="74" s="2" customFormat="1" ht="150" customHeight="1" spans="1:21">
      <c r="A74" s="11"/>
      <c r="B74" s="11"/>
      <c r="C74" s="14"/>
      <c r="D74" s="11"/>
      <c r="E74" s="20"/>
      <c r="F74" s="11" t="s">
        <v>479</v>
      </c>
      <c r="G74" s="26">
        <v>297.78</v>
      </c>
      <c r="H74" s="11" t="s">
        <v>474</v>
      </c>
      <c r="I74" s="27"/>
      <c r="J74" s="28"/>
      <c r="K74" s="19" t="s">
        <v>475</v>
      </c>
      <c r="L74" s="16">
        <v>7</v>
      </c>
      <c r="M74" s="28"/>
      <c r="N74" s="28">
        <v>139</v>
      </c>
      <c r="O74" s="28">
        <v>60</v>
      </c>
      <c r="P74" s="33">
        <v>125067.6</v>
      </c>
      <c r="Q74" s="37"/>
      <c r="R74" s="38"/>
      <c r="S74" s="38"/>
      <c r="T74" s="38"/>
      <c r="U74" s="38"/>
    </row>
    <row r="75" s="2" customFormat="1" ht="150" customHeight="1" spans="1:21">
      <c r="A75" s="11"/>
      <c r="B75" s="11"/>
      <c r="C75" s="14"/>
      <c r="D75" s="11"/>
      <c r="E75" s="18"/>
      <c r="F75" s="11" t="s">
        <v>480</v>
      </c>
      <c r="G75" s="26">
        <v>380.68</v>
      </c>
      <c r="H75" s="11" t="s">
        <v>481</v>
      </c>
      <c r="I75" s="27"/>
      <c r="J75" s="28"/>
      <c r="K75" s="19" t="s">
        <v>314</v>
      </c>
      <c r="L75" s="16">
        <v>5</v>
      </c>
      <c r="M75" s="28"/>
      <c r="N75" s="28">
        <v>147.47</v>
      </c>
      <c r="O75" s="28">
        <v>60</v>
      </c>
      <c r="P75" s="33">
        <v>114204</v>
      </c>
      <c r="Q75" s="37"/>
      <c r="R75" s="38"/>
      <c r="S75" s="38"/>
      <c r="T75" s="38"/>
      <c r="U75" s="38"/>
    </row>
    <row r="76" s="2" customFormat="1" ht="150" customHeight="1" spans="1:21">
      <c r="A76" s="11">
        <v>41</v>
      </c>
      <c r="B76" s="14" t="s">
        <v>41</v>
      </c>
      <c r="C76" s="14" t="s">
        <v>482</v>
      </c>
      <c r="D76" s="14" t="s">
        <v>483</v>
      </c>
      <c r="E76" s="17" t="s">
        <v>154</v>
      </c>
      <c r="F76" s="14" t="s">
        <v>484</v>
      </c>
      <c r="G76" s="19">
        <v>40</v>
      </c>
      <c r="H76" s="11" t="s">
        <v>485</v>
      </c>
      <c r="I76" s="27" t="s">
        <v>157</v>
      </c>
      <c r="J76" s="28">
        <v>0</v>
      </c>
      <c r="K76" s="19" t="s">
        <v>485</v>
      </c>
      <c r="L76" s="16">
        <v>11.9802955665025</v>
      </c>
      <c r="M76" s="28">
        <v>16.4285714285715</v>
      </c>
      <c r="N76" s="28">
        <v>187.5</v>
      </c>
      <c r="O76" s="28">
        <v>60</v>
      </c>
      <c r="P76" s="33">
        <v>28752.7093596059</v>
      </c>
      <c r="Q76" s="37">
        <v>51098</v>
      </c>
      <c r="R76" s="38" t="s">
        <v>486</v>
      </c>
      <c r="S76" s="38" t="s">
        <v>487</v>
      </c>
      <c r="T76" s="38" t="s">
        <v>486</v>
      </c>
      <c r="U76" s="38" t="s">
        <v>488</v>
      </c>
    </row>
    <row r="77" s="2" customFormat="1" ht="150" customHeight="1" spans="1:21">
      <c r="A77" s="11"/>
      <c r="B77" s="14"/>
      <c r="C77" s="14"/>
      <c r="D77" s="14"/>
      <c r="E77" s="20"/>
      <c r="F77" s="14" t="s">
        <v>489</v>
      </c>
      <c r="G77" s="19">
        <v>16</v>
      </c>
      <c r="H77" s="11" t="s">
        <v>490</v>
      </c>
      <c r="I77" s="27"/>
      <c r="J77" s="28"/>
      <c r="K77" s="19" t="s">
        <v>490</v>
      </c>
      <c r="L77" s="16">
        <v>1.03559510567297</v>
      </c>
      <c r="M77" s="28"/>
      <c r="N77" s="28">
        <v>183.875</v>
      </c>
      <c r="O77" s="28">
        <v>60</v>
      </c>
      <c r="P77" s="33">
        <v>994.171301446051</v>
      </c>
      <c r="Q77" s="37"/>
      <c r="R77" s="38"/>
      <c r="S77" s="38"/>
      <c r="T77" s="38"/>
      <c r="U77" s="38"/>
    </row>
    <row r="78" s="2" customFormat="1" ht="150" customHeight="1" spans="1:21">
      <c r="A78" s="11"/>
      <c r="B78" s="14"/>
      <c r="C78" s="14"/>
      <c r="D78" s="14"/>
      <c r="E78" s="18"/>
      <c r="F78" s="14" t="s">
        <v>491</v>
      </c>
      <c r="G78" s="19">
        <v>80</v>
      </c>
      <c r="H78" s="11" t="s">
        <v>492</v>
      </c>
      <c r="I78" s="27"/>
      <c r="J78" s="28"/>
      <c r="K78" s="19" t="s">
        <v>493</v>
      </c>
      <c r="L78" s="16">
        <v>4.44827586206897</v>
      </c>
      <c r="M78" s="28"/>
      <c r="N78" s="28">
        <v>187.5</v>
      </c>
      <c r="O78" s="28">
        <v>60</v>
      </c>
      <c r="P78" s="33">
        <v>21351.724137931</v>
      </c>
      <c r="Q78" s="37"/>
      <c r="R78" s="38"/>
      <c r="S78" s="38"/>
      <c r="T78" s="38"/>
      <c r="U78" s="38"/>
    </row>
    <row r="79" s="2" customFormat="1" ht="150" customHeight="1" spans="1:21">
      <c r="A79" s="11">
        <v>42</v>
      </c>
      <c r="B79" s="14" t="s">
        <v>42</v>
      </c>
      <c r="C79" s="14" t="s">
        <v>494</v>
      </c>
      <c r="D79" s="14" t="s">
        <v>495</v>
      </c>
      <c r="E79" s="17" t="s">
        <v>154</v>
      </c>
      <c r="F79" s="14" t="s">
        <v>496</v>
      </c>
      <c r="G79" s="19">
        <v>1193.92</v>
      </c>
      <c r="H79" s="11" t="s">
        <v>497</v>
      </c>
      <c r="I79" s="27" t="s">
        <v>220</v>
      </c>
      <c r="J79" s="28">
        <v>9</v>
      </c>
      <c r="K79" s="19" t="s">
        <v>497</v>
      </c>
      <c r="L79" s="16">
        <v>5</v>
      </c>
      <c r="M79" s="28">
        <v>21</v>
      </c>
      <c r="N79" s="28">
        <v>139</v>
      </c>
      <c r="O79" s="28">
        <v>60</v>
      </c>
      <c r="P79" s="33">
        <v>300000</v>
      </c>
      <c r="Q79" s="37">
        <v>300000</v>
      </c>
      <c r="R79" s="38" t="s">
        <v>476</v>
      </c>
      <c r="S79" s="38" t="s">
        <v>477</v>
      </c>
      <c r="T79" s="38" t="s">
        <v>476</v>
      </c>
      <c r="U79" s="38" t="s">
        <v>478</v>
      </c>
    </row>
    <row r="80" s="2" customFormat="1" ht="150" customHeight="1" spans="1:21">
      <c r="A80" s="11"/>
      <c r="B80" s="14"/>
      <c r="C80" s="14"/>
      <c r="D80" s="14"/>
      <c r="E80" s="20"/>
      <c r="F80" s="14" t="s">
        <v>498</v>
      </c>
      <c r="G80" s="19">
        <v>878.92</v>
      </c>
      <c r="H80" s="11" t="s">
        <v>499</v>
      </c>
      <c r="I80" s="27"/>
      <c r="J80" s="28"/>
      <c r="K80" s="19" t="s">
        <v>499</v>
      </c>
      <c r="L80" s="16">
        <v>7</v>
      </c>
      <c r="M80" s="28"/>
      <c r="N80" s="28">
        <v>139</v>
      </c>
      <c r="O80" s="28">
        <v>60</v>
      </c>
      <c r="P80" s="33"/>
      <c r="Q80" s="37"/>
      <c r="R80" s="38"/>
      <c r="S80" s="38"/>
      <c r="T80" s="38"/>
      <c r="U80" s="38"/>
    </row>
    <row r="81" s="2" customFormat="1" ht="150" customHeight="1" spans="1:21">
      <c r="A81" s="11"/>
      <c r="B81" s="14"/>
      <c r="C81" s="14"/>
      <c r="D81" s="14"/>
      <c r="E81" s="20"/>
      <c r="F81" s="14" t="s">
        <v>500</v>
      </c>
      <c r="G81" s="19">
        <v>780</v>
      </c>
      <c r="H81" s="11" t="s">
        <v>501</v>
      </c>
      <c r="I81" s="27"/>
      <c r="J81" s="28"/>
      <c r="K81" s="19" t="s">
        <v>501</v>
      </c>
      <c r="L81" s="16">
        <v>1</v>
      </c>
      <c r="M81" s="28"/>
      <c r="N81" s="28">
        <v>147.47</v>
      </c>
      <c r="O81" s="28">
        <v>60</v>
      </c>
      <c r="P81" s="33"/>
      <c r="Q81" s="37"/>
      <c r="R81" s="38"/>
      <c r="S81" s="38"/>
      <c r="T81" s="38"/>
      <c r="U81" s="38"/>
    </row>
    <row r="82" s="2" customFormat="1" ht="150" customHeight="1" spans="1:21">
      <c r="A82" s="11"/>
      <c r="B82" s="14"/>
      <c r="C82" s="14"/>
      <c r="D82" s="14"/>
      <c r="E82" s="18"/>
      <c r="F82" s="14" t="s">
        <v>500</v>
      </c>
      <c r="G82" s="19">
        <v>600</v>
      </c>
      <c r="H82" s="11" t="s">
        <v>502</v>
      </c>
      <c r="I82" s="27"/>
      <c r="J82" s="28"/>
      <c r="K82" s="19" t="s">
        <v>502</v>
      </c>
      <c r="L82" s="16">
        <v>1</v>
      </c>
      <c r="M82" s="28"/>
      <c r="N82" s="28">
        <v>147.47</v>
      </c>
      <c r="O82" s="28">
        <v>60</v>
      </c>
      <c r="P82" s="33"/>
      <c r="Q82" s="37"/>
      <c r="R82" s="38"/>
      <c r="S82" s="38"/>
      <c r="T82" s="38"/>
      <c r="U82" s="38"/>
    </row>
    <row r="83" s="2" customFormat="1" ht="150" customHeight="1" spans="1:21">
      <c r="A83" s="11">
        <v>43</v>
      </c>
      <c r="B83" s="14" t="s">
        <v>43</v>
      </c>
      <c r="C83" s="14" t="s">
        <v>503</v>
      </c>
      <c r="D83" s="14" t="s">
        <v>504</v>
      </c>
      <c r="E83" s="17" t="s">
        <v>154</v>
      </c>
      <c r="F83" s="14" t="s">
        <v>505</v>
      </c>
      <c r="G83" s="19">
        <v>10</v>
      </c>
      <c r="H83" s="11" t="s">
        <v>257</v>
      </c>
      <c r="I83" s="27" t="s">
        <v>157</v>
      </c>
      <c r="J83" s="28">
        <v>0</v>
      </c>
      <c r="K83" s="19" t="s">
        <v>206</v>
      </c>
      <c r="L83" s="16">
        <v>6.48387096774194</v>
      </c>
      <c r="M83" s="28">
        <v>9.48387096774194</v>
      </c>
      <c r="N83" s="28">
        <v>150</v>
      </c>
      <c r="O83" s="28">
        <v>60</v>
      </c>
      <c r="P83" s="33">
        <v>3890.32258064516</v>
      </c>
      <c r="Q83" s="37">
        <v>5690</v>
      </c>
      <c r="R83" s="38" t="s">
        <v>506</v>
      </c>
      <c r="S83" s="38" t="s">
        <v>507</v>
      </c>
      <c r="T83" s="38" t="s">
        <v>506</v>
      </c>
      <c r="U83" s="38" t="s">
        <v>508</v>
      </c>
    </row>
    <row r="84" s="2" customFormat="1" ht="150" customHeight="1" spans="1:21">
      <c r="A84" s="11"/>
      <c r="B84" s="14"/>
      <c r="C84" s="14"/>
      <c r="D84" s="14"/>
      <c r="E84" s="18"/>
      <c r="F84" s="14" t="s">
        <v>505</v>
      </c>
      <c r="G84" s="19">
        <v>10</v>
      </c>
      <c r="H84" s="11" t="s">
        <v>446</v>
      </c>
      <c r="I84" s="27"/>
      <c r="J84" s="28"/>
      <c r="K84" s="19" t="s">
        <v>446</v>
      </c>
      <c r="L84" s="16">
        <v>3</v>
      </c>
      <c r="M84" s="28"/>
      <c r="N84" s="28">
        <v>150</v>
      </c>
      <c r="O84" s="28">
        <v>60</v>
      </c>
      <c r="P84" s="33">
        <v>1800</v>
      </c>
      <c r="Q84" s="37"/>
      <c r="R84" s="38"/>
      <c r="S84" s="38"/>
      <c r="T84" s="38"/>
      <c r="U84" s="38"/>
    </row>
    <row r="85" s="2" customFormat="1" ht="300" customHeight="1" spans="1:21">
      <c r="A85" s="11">
        <v>44</v>
      </c>
      <c r="B85" s="14" t="s">
        <v>44</v>
      </c>
      <c r="C85" s="14" t="s">
        <v>509</v>
      </c>
      <c r="D85" s="14" t="s">
        <v>510</v>
      </c>
      <c r="E85" s="13" t="s">
        <v>154</v>
      </c>
      <c r="F85" s="14" t="s">
        <v>511</v>
      </c>
      <c r="G85" s="19">
        <v>10</v>
      </c>
      <c r="H85" s="11" t="s">
        <v>512</v>
      </c>
      <c r="I85" s="27" t="s">
        <v>157</v>
      </c>
      <c r="J85" s="28">
        <v>0</v>
      </c>
      <c r="K85" s="19" t="s">
        <v>513</v>
      </c>
      <c r="L85" s="16">
        <v>9.36666666666667</v>
      </c>
      <c r="M85" s="28">
        <v>9.36666666666667</v>
      </c>
      <c r="N85" s="28">
        <v>150</v>
      </c>
      <c r="O85" s="28">
        <v>60</v>
      </c>
      <c r="P85" s="33">
        <v>5620</v>
      </c>
      <c r="Q85" s="37">
        <v>5620</v>
      </c>
      <c r="R85" s="38" t="s">
        <v>514</v>
      </c>
      <c r="S85" s="38" t="s">
        <v>515</v>
      </c>
      <c r="T85" s="38" t="s">
        <v>514</v>
      </c>
      <c r="U85" s="38" t="s">
        <v>516</v>
      </c>
    </row>
    <row r="86" s="2" customFormat="1" ht="100.05" customHeight="1" spans="1:21">
      <c r="A86" s="11">
        <v>45</v>
      </c>
      <c r="B86" s="14" t="s">
        <v>1129</v>
      </c>
      <c r="C86" s="14" t="s">
        <v>1130</v>
      </c>
      <c r="D86" s="14" t="s">
        <v>1131</v>
      </c>
      <c r="E86" s="21" t="s">
        <v>154</v>
      </c>
      <c r="F86" s="14" t="s">
        <v>1132</v>
      </c>
      <c r="G86" s="19">
        <v>309.54</v>
      </c>
      <c r="H86" s="11" t="s">
        <v>1133</v>
      </c>
      <c r="I86" s="27" t="s">
        <v>157</v>
      </c>
      <c r="J86" s="28">
        <v>0</v>
      </c>
      <c r="K86" s="19" t="s">
        <v>635</v>
      </c>
      <c r="L86" s="16">
        <v>1</v>
      </c>
      <c r="M86" s="28">
        <v>7</v>
      </c>
      <c r="N86" s="28">
        <f>(43036.5+430.36)/(309.54+108.88*16/31)</f>
        <v>118.847596804324</v>
      </c>
      <c r="O86" s="28">
        <f t="shared" ref="O86:O90" si="4">N86*0.5</f>
        <v>59.423798402162</v>
      </c>
      <c r="P86" s="33">
        <v>18394.0425574052</v>
      </c>
      <c r="Q86" s="37">
        <v>172364</v>
      </c>
      <c r="R86" s="38" t="s">
        <v>1134</v>
      </c>
      <c r="S86" s="38" t="s">
        <v>1135</v>
      </c>
      <c r="T86" s="38" t="s">
        <v>1134</v>
      </c>
      <c r="U86" s="38" t="s">
        <v>1136</v>
      </c>
    </row>
    <row r="87" s="2" customFormat="1" ht="100.05" customHeight="1" spans="1:21">
      <c r="A87" s="11"/>
      <c r="B87" s="14"/>
      <c r="C87" s="14"/>
      <c r="D87" s="14"/>
      <c r="E87" s="23"/>
      <c r="F87" s="14" t="s">
        <v>1132</v>
      </c>
      <c r="G87" s="19">
        <v>309.54</v>
      </c>
      <c r="H87" s="11" t="s">
        <v>1133</v>
      </c>
      <c r="I87" s="27"/>
      <c r="J87" s="28"/>
      <c r="K87" s="19" t="s">
        <v>602</v>
      </c>
      <c r="L87" s="16">
        <v>6</v>
      </c>
      <c r="M87" s="28"/>
      <c r="N87" s="28">
        <v>120</v>
      </c>
      <c r="O87" s="28">
        <v>60</v>
      </c>
      <c r="P87" s="33">
        <v>111434.4</v>
      </c>
      <c r="Q87" s="37"/>
      <c r="R87" s="38"/>
      <c r="S87" s="38"/>
      <c r="T87" s="38"/>
      <c r="U87" s="38"/>
    </row>
    <row r="88" s="2" customFormat="1" ht="100.05" customHeight="1" spans="1:21">
      <c r="A88" s="11"/>
      <c r="B88" s="14"/>
      <c r="C88" s="14"/>
      <c r="D88" s="14"/>
      <c r="E88" s="23"/>
      <c r="F88" s="14" t="s">
        <v>1137</v>
      </c>
      <c r="G88" s="19">
        <v>108.88</v>
      </c>
      <c r="H88" s="11" t="s">
        <v>1138</v>
      </c>
      <c r="I88" s="27"/>
      <c r="J88" s="28"/>
      <c r="K88" s="19" t="s">
        <v>1139</v>
      </c>
      <c r="L88" s="16">
        <v>0.516129032258065</v>
      </c>
      <c r="M88" s="28"/>
      <c r="N88" s="28">
        <f>(43036.5+430.36)/(309.54+108.88*16/31)</f>
        <v>118.847596804324</v>
      </c>
      <c r="O88" s="28">
        <f t="shared" si="4"/>
        <v>59.423798402162</v>
      </c>
      <c r="P88" s="33">
        <v>3339.38744259478</v>
      </c>
      <c r="Q88" s="37"/>
      <c r="R88" s="38"/>
      <c r="S88" s="38"/>
      <c r="T88" s="38"/>
      <c r="U88" s="38"/>
    </row>
    <row r="89" s="2" customFormat="1" ht="100.05" customHeight="1" spans="1:21">
      <c r="A89" s="11"/>
      <c r="B89" s="14"/>
      <c r="C89" s="14"/>
      <c r="D89" s="14"/>
      <c r="E89" s="22"/>
      <c r="F89" s="14" t="s">
        <v>1137</v>
      </c>
      <c r="G89" s="19">
        <v>108.88</v>
      </c>
      <c r="H89" s="11" t="s">
        <v>1138</v>
      </c>
      <c r="I89" s="27"/>
      <c r="J89" s="28"/>
      <c r="K89" s="19" t="s">
        <v>602</v>
      </c>
      <c r="L89" s="16">
        <v>6</v>
      </c>
      <c r="M89" s="28"/>
      <c r="N89" s="28">
        <v>120</v>
      </c>
      <c r="O89" s="28">
        <v>60</v>
      </c>
      <c r="P89" s="33">
        <v>39196.8</v>
      </c>
      <c r="Q89" s="37"/>
      <c r="R89" s="38"/>
      <c r="S89" s="38"/>
      <c r="T89" s="38"/>
      <c r="U89" s="38"/>
    </row>
    <row r="90" s="2" customFormat="1" ht="300" customHeight="1" spans="1:21">
      <c r="A90" s="11">
        <v>46</v>
      </c>
      <c r="B90" s="14" t="s">
        <v>45</v>
      </c>
      <c r="C90" s="14" t="s">
        <v>517</v>
      </c>
      <c r="D90" s="14" t="s">
        <v>518</v>
      </c>
      <c r="E90" s="13" t="s">
        <v>154</v>
      </c>
      <c r="F90" s="14" t="s">
        <v>519</v>
      </c>
      <c r="G90" s="19">
        <v>149.19</v>
      </c>
      <c r="H90" s="11" t="s">
        <v>520</v>
      </c>
      <c r="I90" s="27" t="s">
        <v>157</v>
      </c>
      <c r="J90" s="28">
        <v>0</v>
      </c>
      <c r="K90" s="19" t="s">
        <v>521</v>
      </c>
      <c r="L90" s="16">
        <v>5.54838709677419</v>
      </c>
      <c r="M90" s="28">
        <v>5.54838709677419</v>
      </c>
      <c r="N90" s="28">
        <v>80</v>
      </c>
      <c r="O90" s="28">
        <f t="shared" si="4"/>
        <v>40</v>
      </c>
      <c r="P90" s="33">
        <v>33110.5548387097</v>
      </c>
      <c r="Q90" s="37">
        <v>33110</v>
      </c>
      <c r="R90" s="38" t="s">
        <v>522</v>
      </c>
      <c r="S90" s="38" t="s">
        <v>523</v>
      </c>
      <c r="T90" s="38" t="s">
        <v>522</v>
      </c>
      <c r="U90" s="38" t="s">
        <v>524</v>
      </c>
    </row>
    <row r="91" s="2" customFormat="1" ht="150" customHeight="1" spans="1:21">
      <c r="A91" s="11">
        <v>47</v>
      </c>
      <c r="B91" s="14" t="s">
        <v>1140</v>
      </c>
      <c r="C91" s="14" t="s">
        <v>1141</v>
      </c>
      <c r="D91" s="14" t="s">
        <v>1142</v>
      </c>
      <c r="E91" s="17" t="s">
        <v>154</v>
      </c>
      <c r="F91" s="14" t="s">
        <v>1143</v>
      </c>
      <c r="G91" s="19">
        <v>8</v>
      </c>
      <c r="H91" s="11" t="s">
        <v>1144</v>
      </c>
      <c r="I91" s="27" t="s">
        <v>157</v>
      </c>
      <c r="J91" s="28">
        <v>0</v>
      </c>
      <c r="K91" s="19" t="s">
        <v>1145</v>
      </c>
      <c r="L91" s="16">
        <v>3</v>
      </c>
      <c r="M91" s="28">
        <v>11</v>
      </c>
      <c r="N91" s="28">
        <v>147.46</v>
      </c>
      <c r="O91" s="28">
        <v>60</v>
      </c>
      <c r="P91" s="33">
        <v>1440</v>
      </c>
      <c r="Q91" s="37">
        <v>73440</v>
      </c>
      <c r="R91" s="38" t="s">
        <v>1146</v>
      </c>
      <c r="S91" s="38" t="s">
        <v>1147</v>
      </c>
      <c r="T91" s="38" t="s">
        <v>1146</v>
      </c>
      <c r="U91" s="38" t="s">
        <v>1148</v>
      </c>
    </row>
    <row r="92" s="2" customFormat="1" ht="150" customHeight="1" spans="1:21">
      <c r="A92" s="11"/>
      <c r="B92" s="14"/>
      <c r="C92" s="14"/>
      <c r="D92" s="14"/>
      <c r="E92" s="18"/>
      <c r="F92" s="14" t="s">
        <v>1149</v>
      </c>
      <c r="G92" s="19">
        <v>150</v>
      </c>
      <c r="H92" s="11" t="s">
        <v>1150</v>
      </c>
      <c r="I92" s="27"/>
      <c r="J92" s="28"/>
      <c r="K92" s="19" t="s">
        <v>835</v>
      </c>
      <c r="L92" s="16">
        <v>8</v>
      </c>
      <c r="M92" s="28"/>
      <c r="N92" s="28">
        <v>140</v>
      </c>
      <c r="O92" s="28">
        <v>60</v>
      </c>
      <c r="P92" s="33">
        <v>72000</v>
      </c>
      <c r="Q92" s="37"/>
      <c r="R92" s="38"/>
      <c r="S92" s="38"/>
      <c r="T92" s="38"/>
      <c r="U92" s="38"/>
    </row>
    <row r="93" s="2" customFormat="1" ht="300" customHeight="1" spans="1:21">
      <c r="A93" s="11">
        <v>48</v>
      </c>
      <c r="B93" s="15" t="s">
        <v>46</v>
      </c>
      <c r="C93" s="14" t="s">
        <v>525</v>
      </c>
      <c r="D93" s="15" t="s">
        <v>526</v>
      </c>
      <c r="E93" s="13" t="s">
        <v>154</v>
      </c>
      <c r="F93" s="14" t="s">
        <v>525</v>
      </c>
      <c r="G93" s="19">
        <v>86</v>
      </c>
      <c r="H93" s="11" t="s">
        <v>527</v>
      </c>
      <c r="I93" s="27" t="s">
        <v>157</v>
      </c>
      <c r="J93" s="28">
        <v>0</v>
      </c>
      <c r="K93" s="19" t="s">
        <v>528</v>
      </c>
      <c r="L93" s="16">
        <v>3.2258064516129</v>
      </c>
      <c r="M93" s="28">
        <v>3.2258064516129</v>
      </c>
      <c r="N93" s="28">
        <v>125</v>
      </c>
      <c r="O93" s="28">
        <v>60</v>
      </c>
      <c r="P93" s="33">
        <v>16645.1612903226</v>
      </c>
      <c r="Q93" s="37">
        <v>16645</v>
      </c>
      <c r="R93" s="38" t="s">
        <v>529</v>
      </c>
      <c r="S93" s="38" t="s">
        <v>530</v>
      </c>
      <c r="T93" s="38" t="s">
        <v>529</v>
      </c>
      <c r="U93" s="38" t="s">
        <v>531</v>
      </c>
    </row>
    <row r="94" s="2" customFormat="1" ht="100.05" customHeight="1" spans="1:21">
      <c r="A94" s="11">
        <v>49</v>
      </c>
      <c r="B94" s="14" t="s">
        <v>47</v>
      </c>
      <c r="C94" s="14" t="s">
        <v>532</v>
      </c>
      <c r="D94" s="14" t="s">
        <v>533</v>
      </c>
      <c r="E94" s="17" t="s">
        <v>154</v>
      </c>
      <c r="F94" s="14" t="s">
        <v>532</v>
      </c>
      <c r="G94" s="19">
        <v>118</v>
      </c>
      <c r="H94" s="11" t="s">
        <v>534</v>
      </c>
      <c r="I94" s="27" t="s">
        <v>157</v>
      </c>
      <c r="J94" s="28">
        <v>0</v>
      </c>
      <c r="K94" s="19" t="s">
        <v>535</v>
      </c>
      <c r="L94" s="16">
        <v>2.54838709677419</v>
      </c>
      <c r="M94" s="28">
        <v>13.5483870967742</v>
      </c>
      <c r="N94" s="28">
        <v>105</v>
      </c>
      <c r="O94" s="28">
        <f t="shared" ref="O94:O96" si="5">N94*0.5</f>
        <v>52.5</v>
      </c>
      <c r="P94" s="33">
        <v>15787.26</v>
      </c>
      <c r="Q94" s="37">
        <v>92782</v>
      </c>
      <c r="R94" s="38" t="s">
        <v>536</v>
      </c>
      <c r="S94" s="38" t="s">
        <v>537</v>
      </c>
      <c r="T94" s="38" t="s">
        <v>536</v>
      </c>
      <c r="U94" s="38" t="s">
        <v>538</v>
      </c>
    </row>
    <row r="95" s="2" customFormat="1" ht="100.05" customHeight="1" spans="1:21">
      <c r="A95" s="11"/>
      <c r="B95" s="14"/>
      <c r="C95" s="14"/>
      <c r="D95" s="14"/>
      <c r="E95" s="20"/>
      <c r="F95" s="14" t="s">
        <v>532</v>
      </c>
      <c r="G95" s="19">
        <v>118</v>
      </c>
      <c r="H95" s="11" t="s">
        <v>534</v>
      </c>
      <c r="I95" s="27"/>
      <c r="J95" s="28"/>
      <c r="K95" s="19" t="s">
        <v>539</v>
      </c>
      <c r="L95" s="16">
        <v>9.45161290322581</v>
      </c>
      <c r="M95" s="28"/>
      <c r="N95" s="39">
        <v>118.5</v>
      </c>
      <c r="O95" s="28">
        <f t="shared" si="5"/>
        <v>59.25</v>
      </c>
      <c r="P95" s="33">
        <v>66080.9516129032</v>
      </c>
      <c r="Q95" s="37"/>
      <c r="R95" s="38"/>
      <c r="S95" s="38"/>
      <c r="T95" s="38"/>
      <c r="U95" s="38"/>
    </row>
    <row r="96" s="2" customFormat="1" ht="100.05" customHeight="1" spans="1:21">
      <c r="A96" s="11"/>
      <c r="B96" s="14"/>
      <c r="C96" s="14"/>
      <c r="D96" s="14"/>
      <c r="E96" s="20"/>
      <c r="F96" s="14" t="s">
        <v>532</v>
      </c>
      <c r="G96" s="19">
        <v>118</v>
      </c>
      <c r="H96" s="11" t="s">
        <v>540</v>
      </c>
      <c r="I96" s="27"/>
      <c r="J96" s="28"/>
      <c r="K96" s="19" t="s">
        <v>541</v>
      </c>
      <c r="L96" s="16">
        <v>0.548387096774194</v>
      </c>
      <c r="M96" s="28"/>
      <c r="N96" s="39">
        <v>118.5</v>
      </c>
      <c r="O96" s="28">
        <f t="shared" si="5"/>
        <v>59.25</v>
      </c>
      <c r="P96" s="33">
        <v>3834.04838709677</v>
      </c>
      <c r="Q96" s="37"/>
      <c r="R96" s="38"/>
      <c r="S96" s="38"/>
      <c r="T96" s="38"/>
      <c r="U96" s="38"/>
    </row>
    <row r="97" s="2" customFormat="1" ht="100.05" customHeight="1" spans="1:21">
      <c r="A97" s="11"/>
      <c r="B97" s="14"/>
      <c r="C97" s="14"/>
      <c r="D97" s="14"/>
      <c r="E97" s="18"/>
      <c r="F97" s="14" t="s">
        <v>532</v>
      </c>
      <c r="G97" s="19">
        <v>118</v>
      </c>
      <c r="H97" s="11" t="s">
        <v>540</v>
      </c>
      <c r="I97" s="27"/>
      <c r="J97" s="28"/>
      <c r="K97" s="19" t="s">
        <v>542</v>
      </c>
      <c r="L97" s="16">
        <v>1</v>
      </c>
      <c r="M97" s="28"/>
      <c r="N97" s="28">
        <v>123.499975423729</v>
      </c>
      <c r="O97" s="28">
        <v>60</v>
      </c>
      <c r="P97" s="33">
        <v>7080</v>
      </c>
      <c r="Q97" s="37"/>
      <c r="R97" s="38"/>
      <c r="S97" s="38"/>
      <c r="T97" s="38"/>
      <c r="U97" s="38"/>
    </row>
    <row r="98" s="2" customFormat="1" ht="300" customHeight="1" spans="1:21">
      <c r="A98" s="11">
        <v>50</v>
      </c>
      <c r="B98" s="14" t="s">
        <v>48</v>
      </c>
      <c r="C98" s="14" t="s">
        <v>543</v>
      </c>
      <c r="D98" s="14" t="s">
        <v>544</v>
      </c>
      <c r="E98" s="14" t="s">
        <v>154</v>
      </c>
      <c r="F98" s="14" t="s">
        <v>545</v>
      </c>
      <c r="G98" s="19">
        <v>40</v>
      </c>
      <c r="H98" s="11" t="s">
        <v>546</v>
      </c>
      <c r="I98" s="27" t="s">
        <v>157</v>
      </c>
      <c r="J98" s="28">
        <v>0</v>
      </c>
      <c r="K98" s="19" t="s">
        <v>547</v>
      </c>
      <c r="L98" s="16">
        <v>6.54838709677419</v>
      </c>
      <c r="M98" s="28">
        <v>6.54838709677419</v>
      </c>
      <c r="N98" s="28">
        <v>220</v>
      </c>
      <c r="O98" s="28">
        <v>60</v>
      </c>
      <c r="P98" s="33">
        <v>15716.1290322581</v>
      </c>
      <c r="Q98" s="37">
        <v>15716</v>
      </c>
      <c r="R98" s="38" t="s">
        <v>548</v>
      </c>
      <c r="S98" s="38" t="s">
        <v>549</v>
      </c>
      <c r="T98" s="38" t="s">
        <v>548</v>
      </c>
      <c r="U98" s="38" t="s">
        <v>550</v>
      </c>
    </row>
    <row r="99" s="2" customFormat="1" ht="300" customHeight="1" spans="1:21">
      <c r="A99" s="11">
        <v>51</v>
      </c>
      <c r="B99" s="14" t="s">
        <v>49</v>
      </c>
      <c r="C99" s="14" t="s">
        <v>551</v>
      </c>
      <c r="D99" s="14" t="s">
        <v>552</v>
      </c>
      <c r="E99" s="13" t="s">
        <v>154</v>
      </c>
      <c r="F99" s="14" t="s">
        <v>553</v>
      </c>
      <c r="G99" s="19">
        <v>1350</v>
      </c>
      <c r="H99" s="11" t="s">
        <v>554</v>
      </c>
      <c r="I99" s="27" t="s">
        <v>157</v>
      </c>
      <c r="J99" s="28">
        <v>0</v>
      </c>
      <c r="K99" s="19" t="s">
        <v>346</v>
      </c>
      <c r="L99" s="16">
        <v>7.5</v>
      </c>
      <c r="M99" s="28">
        <v>7.5</v>
      </c>
      <c r="N99" s="28">
        <v>153</v>
      </c>
      <c r="O99" s="28">
        <v>60</v>
      </c>
      <c r="P99" s="33">
        <v>607500</v>
      </c>
      <c r="Q99" s="37">
        <v>300000</v>
      </c>
      <c r="R99" s="38" t="s">
        <v>476</v>
      </c>
      <c r="S99" s="38" t="s">
        <v>477</v>
      </c>
      <c r="T99" s="38" t="s">
        <v>476</v>
      </c>
      <c r="U99" s="38" t="s">
        <v>478</v>
      </c>
    </row>
    <row r="100" s="2" customFormat="1" ht="150" customHeight="1" spans="1:21">
      <c r="A100" s="11">
        <v>52</v>
      </c>
      <c r="B100" s="14" t="s">
        <v>50</v>
      </c>
      <c r="C100" s="14" t="s">
        <v>555</v>
      </c>
      <c r="D100" s="14" t="s">
        <v>556</v>
      </c>
      <c r="E100" s="17" t="s">
        <v>154</v>
      </c>
      <c r="F100" s="14" t="s">
        <v>555</v>
      </c>
      <c r="G100" s="19">
        <v>40</v>
      </c>
      <c r="H100" s="11" t="s">
        <v>557</v>
      </c>
      <c r="I100" s="27" t="s">
        <v>220</v>
      </c>
      <c r="J100" s="28">
        <v>6.54838709677419</v>
      </c>
      <c r="K100" s="19" t="s">
        <v>558</v>
      </c>
      <c r="L100" s="16">
        <v>5.45161290322581</v>
      </c>
      <c r="M100" s="28">
        <v>18.5483870967742</v>
      </c>
      <c r="N100" s="28">
        <v>130</v>
      </c>
      <c r="O100" s="28">
        <v>60</v>
      </c>
      <c r="P100" s="33">
        <v>13083.8709677419</v>
      </c>
      <c r="Q100" s="37">
        <v>28800</v>
      </c>
      <c r="R100" s="38" t="s">
        <v>559</v>
      </c>
      <c r="S100" s="38" t="s">
        <v>560</v>
      </c>
      <c r="T100" s="38" t="s">
        <v>559</v>
      </c>
      <c r="U100" s="38" t="s">
        <v>561</v>
      </c>
    </row>
    <row r="101" s="2" customFormat="1" ht="150" customHeight="1" spans="1:21">
      <c r="A101" s="11"/>
      <c r="B101" s="14"/>
      <c r="C101" s="14"/>
      <c r="D101" s="14"/>
      <c r="E101" s="18"/>
      <c r="F101" s="14" t="s">
        <v>555</v>
      </c>
      <c r="G101" s="19">
        <v>40</v>
      </c>
      <c r="H101" s="11" t="s">
        <v>546</v>
      </c>
      <c r="I101" s="27"/>
      <c r="J101" s="28"/>
      <c r="K101" s="19" t="s">
        <v>547</v>
      </c>
      <c r="L101" s="16">
        <v>6.54838709677419</v>
      </c>
      <c r="M101" s="28"/>
      <c r="N101" s="28">
        <v>130</v>
      </c>
      <c r="O101" s="28">
        <v>60</v>
      </c>
      <c r="P101" s="33">
        <v>15716.1290322581</v>
      </c>
      <c r="Q101" s="37"/>
      <c r="R101" s="38"/>
      <c r="S101" s="38"/>
      <c r="T101" s="38"/>
      <c r="U101" s="38"/>
    </row>
    <row r="102" s="2" customFormat="1" ht="300" customHeight="1" spans="1:21">
      <c r="A102" s="11">
        <v>53</v>
      </c>
      <c r="B102" s="14" t="s">
        <v>51</v>
      </c>
      <c r="C102" s="14" t="s">
        <v>562</v>
      </c>
      <c r="D102" s="14" t="s">
        <v>563</v>
      </c>
      <c r="E102" s="13" t="s">
        <v>154</v>
      </c>
      <c r="F102" s="14" t="s">
        <v>562</v>
      </c>
      <c r="G102" s="19">
        <v>8.5</v>
      </c>
      <c r="H102" s="11" t="s">
        <v>564</v>
      </c>
      <c r="I102" s="27" t="s">
        <v>157</v>
      </c>
      <c r="J102" s="28">
        <v>0</v>
      </c>
      <c r="K102" s="19" t="s">
        <v>565</v>
      </c>
      <c r="L102" s="16">
        <f>22/31+8</f>
        <v>8.70967741935484</v>
      </c>
      <c r="M102" s="28">
        <v>8.70967741935484</v>
      </c>
      <c r="N102" s="28">
        <f>1000/8.5</f>
        <v>117.647058823529</v>
      </c>
      <c r="O102" s="28">
        <f>N102*0.5</f>
        <v>58.8235294117647</v>
      </c>
      <c r="P102" s="33">
        <f>G102*L102*O102</f>
        <v>4354.83870967742</v>
      </c>
      <c r="Q102" s="37">
        <v>4354</v>
      </c>
      <c r="R102" s="38" t="s">
        <v>566</v>
      </c>
      <c r="S102" s="38" t="s">
        <v>567</v>
      </c>
      <c r="T102" s="38" t="s">
        <v>566</v>
      </c>
      <c r="U102" s="38" t="s">
        <v>568</v>
      </c>
    </row>
    <row r="103" s="2" customFormat="1" ht="300" customHeight="1" spans="1:21">
      <c r="A103" s="11">
        <v>54</v>
      </c>
      <c r="B103" s="14" t="s">
        <v>52</v>
      </c>
      <c r="C103" s="14" t="s">
        <v>569</v>
      </c>
      <c r="D103" s="14" t="s">
        <v>570</v>
      </c>
      <c r="E103" s="13" t="s">
        <v>154</v>
      </c>
      <c r="F103" s="14" t="s">
        <v>571</v>
      </c>
      <c r="G103" s="19">
        <v>323.84</v>
      </c>
      <c r="H103" s="11" t="s">
        <v>572</v>
      </c>
      <c r="I103" s="27" t="s">
        <v>157</v>
      </c>
      <c r="J103" s="28">
        <v>0</v>
      </c>
      <c r="K103" s="19" t="s">
        <v>573</v>
      </c>
      <c r="L103" s="16">
        <v>6.25806451612903</v>
      </c>
      <c r="M103" s="28">
        <v>6.25806451612903</v>
      </c>
      <c r="N103" s="28">
        <v>80</v>
      </c>
      <c r="O103" s="28">
        <f>N103*0.5</f>
        <v>40</v>
      </c>
      <c r="P103" s="33">
        <v>81064.464516129</v>
      </c>
      <c r="Q103" s="37">
        <v>81064</v>
      </c>
      <c r="R103" s="38" t="s">
        <v>574</v>
      </c>
      <c r="S103" s="38" t="s">
        <v>575</v>
      </c>
      <c r="T103" s="38" t="s">
        <v>574</v>
      </c>
      <c r="U103" s="38" t="s">
        <v>576</v>
      </c>
    </row>
    <row r="104" s="2" customFormat="1" ht="150" customHeight="1" spans="1:21">
      <c r="A104" s="11">
        <v>55</v>
      </c>
      <c r="B104" s="14" t="s">
        <v>53</v>
      </c>
      <c r="C104" s="14" t="s">
        <v>577</v>
      </c>
      <c r="D104" s="14" t="s">
        <v>578</v>
      </c>
      <c r="E104" s="17" t="s">
        <v>154</v>
      </c>
      <c r="F104" s="14" t="s">
        <v>577</v>
      </c>
      <c r="G104" s="19">
        <v>104</v>
      </c>
      <c r="H104" s="11" t="s">
        <v>579</v>
      </c>
      <c r="I104" s="27" t="s">
        <v>220</v>
      </c>
      <c r="J104" s="28">
        <v>0</v>
      </c>
      <c r="K104" s="19" t="s">
        <v>579</v>
      </c>
      <c r="L104" s="16">
        <v>12</v>
      </c>
      <c r="M104" s="28">
        <v>15</v>
      </c>
      <c r="N104" s="28">
        <v>120</v>
      </c>
      <c r="O104" s="28">
        <v>60</v>
      </c>
      <c r="P104" s="33">
        <v>74880</v>
      </c>
      <c r="Q104" s="37">
        <v>93600</v>
      </c>
      <c r="R104" s="38" t="s">
        <v>580</v>
      </c>
      <c r="S104" s="38" t="s">
        <v>581</v>
      </c>
      <c r="T104" s="38" t="s">
        <v>580</v>
      </c>
      <c r="U104" s="38" t="s">
        <v>582</v>
      </c>
    </row>
    <row r="105" s="2" customFormat="1" ht="150" customHeight="1" spans="1:21">
      <c r="A105" s="11"/>
      <c r="B105" s="14"/>
      <c r="C105" s="14"/>
      <c r="D105" s="14"/>
      <c r="E105" s="18"/>
      <c r="F105" s="14" t="s">
        <v>577</v>
      </c>
      <c r="G105" s="19">
        <v>104</v>
      </c>
      <c r="H105" s="11" t="s">
        <v>272</v>
      </c>
      <c r="I105" s="27"/>
      <c r="J105" s="28"/>
      <c r="K105" s="19" t="s">
        <v>273</v>
      </c>
      <c r="L105" s="16">
        <v>3</v>
      </c>
      <c r="M105" s="28"/>
      <c r="N105" s="28">
        <v>120</v>
      </c>
      <c r="O105" s="28">
        <v>60</v>
      </c>
      <c r="P105" s="33">
        <v>18720</v>
      </c>
      <c r="Q105" s="37"/>
      <c r="R105" s="38"/>
      <c r="S105" s="38"/>
      <c r="T105" s="38"/>
      <c r="U105" s="38"/>
    </row>
    <row r="106" s="2" customFormat="1" ht="100.05" customHeight="1" spans="1:21">
      <c r="A106" s="11">
        <v>56</v>
      </c>
      <c r="B106" s="14" t="s">
        <v>54</v>
      </c>
      <c r="C106" s="14" t="s">
        <v>583</v>
      </c>
      <c r="D106" s="14" t="s">
        <v>584</v>
      </c>
      <c r="E106" s="21" t="s">
        <v>154</v>
      </c>
      <c r="F106" s="14" t="s">
        <v>585</v>
      </c>
      <c r="G106" s="19">
        <v>800</v>
      </c>
      <c r="H106" s="11" t="s">
        <v>497</v>
      </c>
      <c r="I106" s="27" t="s">
        <v>220</v>
      </c>
      <c r="J106" s="28">
        <v>12</v>
      </c>
      <c r="K106" s="19" t="s">
        <v>497</v>
      </c>
      <c r="L106" s="16">
        <v>5</v>
      </c>
      <c r="M106" s="28">
        <v>24</v>
      </c>
      <c r="N106" s="28">
        <v>139</v>
      </c>
      <c r="O106" s="28">
        <v>60</v>
      </c>
      <c r="P106" s="33">
        <v>240000</v>
      </c>
      <c r="Q106" s="37">
        <v>300000</v>
      </c>
      <c r="R106" s="38" t="s">
        <v>476</v>
      </c>
      <c r="S106" s="38" t="s">
        <v>477</v>
      </c>
      <c r="T106" s="38" t="s">
        <v>476</v>
      </c>
      <c r="U106" s="38" t="s">
        <v>478</v>
      </c>
    </row>
    <row r="107" s="2" customFormat="1" ht="100.05" customHeight="1" spans="1:21">
      <c r="A107" s="11"/>
      <c r="B107" s="14"/>
      <c r="C107" s="14"/>
      <c r="D107" s="14"/>
      <c r="E107" s="23"/>
      <c r="F107" s="14" t="s">
        <v>586</v>
      </c>
      <c r="G107" s="19">
        <v>400</v>
      </c>
      <c r="H107" s="11" t="s">
        <v>587</v>
      </c>
      <c r="I107" s="27"/>
      <c r="J107" s="28"/>
      <c r="K107" s="19" t="s">
        <v>587</v>
      </c>
      <c r="L107" s="16">
        <v>2</v>
      </c>
      <c r="M107" s="28"/>
      <c r="N107" s="28">
        <v>139</v>
      </c>
      <c r="O107" s="28">
        <v>60</v>
      </c>
      <c r="P107" s="33">
        <v>48000</v>
      </c>
      <c r="Q107" s="37"/>
      <c r="R107" s="38"/>
      <c r="S107" s="38"/>
      <c r="T107" s="38"/>
      <c r="U107" s="38"/>
    </row>
    <row r="108" s="2" customFormat="1" ht="100.05" customHeight="1" spans="1:21">
      <c r="A108" s="11"/>
      <c r="B108" s="14"/>
      <c r="C108" s="14"/>
      <c r="D108" s="14"/>
      <c r="E108" s="22"/>
      <c r="F108" s="14" t="s">
        <v>585</v>
      </c>
      <c r="G108" s="19">
        <v>45</v>
      </c>
      <c r="H108" s="11" t="s">
        <v>588</v>
      </c>
      <c r="I108" s="27"/>
      <c r="J108" s="28"/>
      <c r="K108" s="19" t="s">
        <v>314</v>
      </c>
      <c r="L108" s="16">
        <v>5</v>
      </c>
      <c r="M108" s="28"/>
      <c r="N108" s="28">
        <v>139</v>
      </c>
      <c r="O108" s="28">
        <v>60</v>
      </c>
      <c r="P108" s="33">
        <v>13500</v>
      </c>
      <c r="Q108" s="37"/>
      <c r="R108" s="38"/>
      <c r="S108" s="38"/>
      <c r="T108" s="38"/>
      <c r="U108" s="38"/>
    </row>
    <row r="109" s="2" customFormat="1" ht="120" customHeight="1" spans="1:21">
      <c r="A109" s="11">
        <v>57</v>
      </c>
      <c r="B109" s="14" t="s">
        <v>55</v>
      </c>
      <c r="C109" s="14" t="s">
        <v>589</v>
      </c>
      <c r="D109" s="14" t="s">
        <v>590</v>
      </c>
      <c r="E109" s="21" t="s">
        <v>154</v>
      </c>
      <c r="F109" s="14" t="s">
        <v>586</v>
      </c>
      <c r="G109" s="19">
        <v>590</v>
      </c>
      <c r="H109" s="11" t="s">
        <v>591</v>
      </c>
      <c r="I109" s="27" t="s">
        <v>157</v>
      </c>
      <c r="J109" s="28">
        <v>0</v>
      </c>
      <c r="K109" s="19" t="s">
        <v>591</v>
      </c>
      <c r="L109" s="16">
        <v>4</v>
      </c>
      <c r="M109" s="28">
        <v>9</v>
      </c>
      <c r="N109" s="28">
        <v>147.47</v>
      </c>
      <c r="O109" s="28">
        <v>60</v>
      </c>
      <c r="P109" s="33">
        <v>141600</v>
      </c>
      <c r="Q109" s="37">
        <v>206504</v>
      </c>
      <c r="R109" s="38" t="s">
        <v>592</v>
      </c>
      <c r="S109" s="38" t="s">
        <v>593</v>
      </c>
      <c r="T109" s="38" t="s">
        <v>592</v>
      </c>
      <c r="U109" s="38" t="s">
        <v>594</v>
      </c>
    </row>
    <row r="110" s="2" customFormat="1" ht="120" customHeight="1" spans="1:21">
      <c r="A110" s="11"/>
      <c r="B110" s="14"/>
      <c r="C110" s="14"/>
      <c r="D110" s="14"/>
      <c r="E110" s="23"/>
      <c r="F110" s="14" t="s">
        <v>595</v>
      </c>
      <c r="G110" s="19">
        <v>30</v>
      </c>
      <c r="H110" s="11" t="s">
        <v>596</v>
      </c>
      <c r="I110" s="27"/>
      <c r="J110" s="28"/>
      <c r="K110" s="19" t="s">
        <v>314</v>
      </c>
      <c r="L110" s="16">
        <v>5</v>
      </c>
      <c r="M110" s="28"/>
      <c r="N110" s="28">
        <v>147.47</v>
      </c>
      <c r="O110" s="28">
        <v>60</v>
      </c>
      <c r="P110" s="33">
        <v>9000</v>
      </c>
      <c r="Q110" s="37"/>
      <c r="R110" s="38"/>
      <c r="S110" s="38"/>
      <c r="T110" s="38"/>
      <c r="U110" s="38"/>
    </row>
    <row r="111" s="2" customFormat="1" ht="120" customHeight="1" spans="1:21">
      <c r="A111" s="11"/>
      <c r="B111" s="14"/>
      <c r="C111" s="14"/>
      <c r="D111" s="14"/>
      <c r="E111" s="22"/>
      <c r="F111" s="14" t="s">
        <v>597</v>
      </c>
      <c r="G111" s="19">
        <v>213.43</v>
      </c>
      <c r="H111" s="11" t="s">
        <v>598</v>
      </c>
      <c r="I111" s="27"/>
      <c r="J111" s="28"/>
      <c r="K111" s="19" t="s">
        <v>547</v>
      </c>
      <c r="L111" s="16">
        <v>6.54838709677419</v>
      </c>
      <c r="M111" s="28"/>
      <c r="N111" s="28">
        <v>80</v>
      </c>
      <c r="O111" s="28">
        <f t="shared" ref="O111:O117" si="6">N111*0.5</f>
        <v>40</v>
      </c>
      <c r="P111" s="33">
        <v>55904.8903225806</v>
      </c>
      <c r="Q111" s="37"/>
      <c r="R111" s="38"/>
      <c r="S111" s="38"/>
      <c r="T111" s="38"/>
      <c r="U111" s="38"/>
    </row>
    <row r="112" s="2" customFormat="1" ht="300" customHeight="1" spans="1:21">
      <c r="A112" s="11">
        <v>58</v>
      </c>
      <c r="B112" s="14" t="s">
        <v>56</v>
      </c>
      <c r="C112" s="14" t="s">
        <v>599</v>
      </c>
      <c r="D112" s="14" t="s">
        <v>600</v>
      </c>
      <c r="E112" s="14" t="s">
        <v>154</v>
      </c>
      <c r="F112" s="14" t="s">
        <v>601</v>
      </c>
      <c r="G112" s="19">
        <v>299.82</v>
      </c>
      <c r="H112" s="11" t="s">
        <v>546</v>
      </c>
      <c r="I112" s="27" t="s">
        <v>157</v>
      </c>
      <c r="J112" s="28">
        <v>0</v>
      </c>
      <c r="K112" s="19" t="s">
        <v>602</v>
      </c>
      <c r="L112" s="16">
        <v>6</v>
      </c>
      <c r="M112" s="28">
        <v>6</v>
      </c>
      <c r="N112" s="28">
        <v>107.16</v>
      </c>
      <c r="O112" s="28">
        <f t="shared" si="6"/>
        <v>53.58</v>
      </c>
      <c r="P112" s="33">
        <v>96386.1336</v>
      </c>
      <c r="Q112" s="37">
        <v>96386</v>
      </c>
      <c r="R112" s="38" t="s">
        <v>603</v>
      </c>
      <c r="S112" s="38" t="s">
        <v>604</v>
      </c>
      <c r="T112" s="38" t="s">
        <v>603</v>
      </c>
      <c r="U112" s="38" t="s">
        <v>605</v>
      </c>
    </row>
    <row r="113" s="2" customFormat="1" ht="150" customHeight="1" spans="1:21">
      <c r="A113" s="11">
        <v>59</v>
      </c>
      <c r="B113" s="14" t="s">
        <v>57</v>
      </c>
      <c r="C113" s="14" t="s">
        <v>606</v>
      </c>
      <c r="D113" s="14" t="s">
        <v>607</v>
      </c>
      <c r="E113" s="21" t="s">
        <v>154</v>
      </c>
      <c r="F113" s="14" t="s">
        <v>608</v>
      </c>
      <c r="G113" s="19">
        <v>82.2</v>
      </c>
      <c r="H113" s="11" t="s">
        <v>609</v>
      </c>
      <c r="I113" s="27" t="s">
        <v>220</v>
      </c>
      <c r="J113" s="28">
        <v>2.63333333333333</v>
      </c>
      <c r="K113" s="19" t="s">
        <v>609</v>
      </c>
      <c r="L113" s="16">
        <v>6</v>
      </c>
      <c r="M113" s="28">
        <v>14.6333333333333</v>
      </c>
      <c r="N113" s="28">
        <v>139.902676399027</v>
      </c>
      <c r="O113" s="28">
        <v>60</v>
      </c>
      <c r="P113" s="33">
        <v>29592</v>
      </c>
      <c r="Q113" s="37">
        <v>56409</v>
      </c>
      <c r="R113" s="38" t="s">
        <v>610</v>
      </c>
      <c r="S113" s="38" t="s">
        <v>611</v>
      </c>
      <c r="T113" s="38" t="s">
        <v>610</v>
      </c>
      <c r="U113" s="38" t="s">
        <v>612</v>
      </c>
    </row>
    <row r="114" s="2" customFormat="1" ht="150" customHeight="1" spans="1:21">
      <c r="A114" s="11"/>
      <c r="B114" s="14"/>
      <c r="C114" s="14"/>
      <c r="D114" s="14"/>
      <c r="E114" s="23"/>
      <c r="F114" s="14" t="s">
        <v>608</v>
      </c>
      <c r="G114" s="19">
        <v>82.2</v>
      </c>
      <c r="H114" s="11" t="s">
        <v>613</v>
      </c>
      <c r="I114" s="27"/>
      <c r="J114" s="28"/>
      <c r="K114" s="19" t="s">
        <v>614</v>
      </c>
      <c r="L114" s="16">
        <v>5</v>
      </c>
      <c r="M114" s="28"/>
      <c r="N114" s="28">
        <v>139.902676399027</v>
      </c>
      <c r="O114" s="28">
        <v>60</v>
      </c>
      <c r="P114" s="33">
        <v>24660</v>
      </c>
      <c r="Q114" s="37"/>
      <c r="R114" s="38"/>
      <c r="S114" s="38"/>
      <c r="T114" s="38"/>
      <c r="U114" s="38"/>
    </row>
    <row r="115" s="2" customFormat="1" ht="150" customHeight="1" spans="1:21">
      <c r="A115" s="11"/>
      <c r="B115" s="14"/>
      <c r="C115" s="14"/>
      <c r="D115" s="14"/>
      <c r="E115" s="22"/>
      <c r="F115" s="14" t="s">
        <v>615</v>
      </c>
      <c r="G115" s="19">
        <v>35.96</v>
      </c>
      <c r="H115" s="11" t="s">
        <v>616</v>
      </c>
      <c r="I115" s="27"/>
      <c r="J115" s="28"/>
      <c r="K115" s="19" t="s">
        <v>542</v>
      </c>
      <c r="L115" s="16">
        <v>1</v>
      </c>
      <c r="M115" s="28"/>
      <c r="N115" s="28">
        <v>139.043381535039</v>
      </c>
      <c r="O115" s="28">
        <v>60</v>
      </c>
      <c r="P115" s="33">
        <v>2157.6</v>
      </c>
      <c r="Q115" s="37"/>
      <c r="R115" s="38"/>
      <c r="S115" s="38"/>
      <c r="T115" s="38"/>
      <c r="U115" s="38"/>
    </row>
    <row r="116" s="2" customFormat="1" ht="150" customHeight="1" spans="1:21">
      <c r="A116" s="11">
        <v>60</v>
      </c>
      <c r="B116" s="14" t="s">
        <v>58</v>
      </c>
      <c r="C116" s="14" t="s">
        <v>617</v>
      </c>
      <c r="D116" s="14" t="s">
        <v>618</v>
      </c>
      <c r="E116" s="21" t="s">
        <v>154</v>
      </c>
      <c r="F116" s="14" t="s">
        <v>619</v>
      </c>
      <c r="G116" s="19">
        <v>354.5</v>
      </c>
      <c r="H116" s="11" t="s">
        <v>620</v>
      </c>
      <c r="I116" s="27" t="s">
        <v>157</v>
      </c>
      <c r="J116" s="28">
        <v>0</v>
      </c>
      <c r="K116" s="19" t="s">
        <v>621</v>
      </c>
      <c r="L116" s="16">
        <v>4</v>
      </c>
      <c r="M116" s="28">
        <v>10</v>
      </c>
      <c r="N116" s="28">
        <v>113.32</v>
      </c>
      <c r="O116" s="28">
        <f t="shared" si="6"/>
        <v>56.66</v>
      </c>
      <c r="P116" s="33">
        <v>80343.88</v>
      </c>
      <c r="Q116" s="37">
        <v>202646</v>
      </c>
      <c r="R116" s="38" t="s">
        <v>622</v>
      </c>
      <c r="S116" s="38" t="s">
        <v>623</v>
      </c>
      <c r="T116" s="38" t="s">
        <v>622</v>
      </c>
      <c r="U116" s="38" t="s">
        <v>624</v>
      </c>
    </row>
    <row r="117" s="2" customFormat="1" ht="150" customHeight="1" spans="1:21">
      <c r="A117" s="11"/>
      <c r="B117" s="14"/>
      <c r="C117" s="14"/>
      <c r="D117" s="14"/>
      <c r="E117" s="22"/>
      <c r="F117" s="14" t="s">
        <v>619</v>
      </c>
      <c r="G117" s="19">
        <v>354.5</v>
      </c>
      <c r="H117" s="11" t="s">
        <v>244</v>
      </c>
      <c r="I117" s="27"/>
      <c r="J117" s="28"/>
      <c r="K117" s="19" t="s">
        <v>602</v>
      </c>
      <c r="L117" s="16">
        <v>6</v>
      </c>
      <c r="M117" s="28"/>
      <c r="N117" s="28">
        <v>115</v>
      </c>
      <c r="O117" s="28">
        <f t="shared" si="6"/>
        <v>57.5</v>
      </c>
      <c r="P117" s="33">
        <v>122302.5</v>
      </c>
      <c r="Q117" s="37"/>
      <c r="R117" s="38"/>
      <c r="S117" s="38"/>
      <c r="T117" s="38"/>
      <c r="U117" s="38"/>
    </row>
    <row r="118" s="2" customFormat="1" ht="120" customHeight="1" spans="1:21">
      <c r="A118" s="11">
        <v>61</v>
      </c>
      <c r="B118" s="14" t="s">
        <v>59</v>
      </c>
      <c r="C118" s="14" t="s">
        <v>625</v>
      </c>
      <c r="D118" s="14" t="s">
        <v>626</v>
      </c>
      <c r="E118" s="21" t="s">
        <v>154</v>
      </c>
      <c r="F118" s="14" t="s">
        <v>627</v>
      </c>
      <c r="G118" s="19">
        <v>1150</v>
      </c>
      <c r="H118" s="11" t="s">
        <v>628</v>
      </c>
      <c r="I118" s="27" t="s">
        <v>220</v>
      </c>
      <c r="J118" s="28">
        <v>6</v>
      </c>
      <c r="K118" s="19" t="s">
        <v>628</v>
      </c>
      <c r="L118" s="19">
        <v>3</v>
      </c>
      <c r="M118" s="28">
        <v>18</v>
      </c>
      <c r="N118" s="28">
        <v>139</v>
      </c>
      <c r="O118" s="28">
        <v>60</v>
      </c>
      <c r="P118" s="34">
        <v>207000</v>
      </c>
      <c r="Q118" s="37">
        <v>300000</v>
      </c>
      <c r="R118" s="38" t="s">
        <v>476</v>
      </c>
      <c r="S118" s="38" t="s">
        <v>477</v>
      </c>
      <c r="T118" s="38" t="s">
        <v>476</v>
      </c>
      <c r="U118" s="38" t="s">
        <v>478</v>
      </c>
    </row>
    <row r="119" s="2" customFormat="1" ht="120" customHeight="1" spans="1:21">
      <c r="A119" s="11"/>
      <c r="B119" s="14"/>
      <c r="C119" s="14"/>
      <c r="D119" s="14"/>
      <c r="E119" s="23"/>
      <c r="F119" s="14" t="s">
        <v>627</v>
      </c>
      <c r="G119" s="19">
        <v>560</v>
      </c>
      <c r="H119" s="11" t="s">
        <v>629</v>
      </c>
      <c r="I119" s="27"/>
      <c r="J119" s="28"/>
      <c r="K119" s="19" t="s">
        <v>629</v>
      </c>
      <c r="L119" s="19">
        <v>2</v>
      </c>
      <c r="M119" s="28"/>
      <c r="N119" s="28">
        <v>139</v>
      </c>
      <c r="O119" s="28">
        <v>60</v>
      </c>
      <c r="P119" s="34">
        <v>67200</v>
      </c>
      <c r="Q119" s="37"/>
      <c r="R119" s="38"/>
      <c r="S119" s="38"/>
      <c r="T119" s="38"/>
      <c r="U119" s="38"/>
    </row>
    <row r="120" s="2" customFormat="1" ht="120" customHeight="1" spans="1:21">
      <c r="A120" s="11"/>
      <c r="B120" s="14"/>
      <c r="C120" s="14"/>
      <c r="D120" s="14"/>
      <c r="E120" s="22"/>
      <c r="F120" s="14" t="s">
        <v>627</v>
      </c>
      <c r="G120" s="19">
        <v>65</v>
      </c>
      <c r="H120" s="11" t="s">
        <v>630</v>
      </c>
      <c r="I120" s="27"/>
      <c r="J120" s="28"/>
      <c r="K120" s="19" t="s">
        <v>499</v>
      </c>
      <c r="L120" s="19">
        <v>7</v>
      </c>
      <c r="M120" s="28"/>
      <c r="N120" s="28">
        <v>139</v>
      </c>
      <c r="O120" s="28">
        <v>60</v>
      </c>
      <c r="P120" s="34">
        <v>27300</v>
      </c>
      <c r="Q120" s="37"/>
      <c r="R120" s="38"/>
      <c r="S120" s="38"/>
      <c r="T120" s="38"/>
      <c r="U120" s="38"/>
    </row>
    <row r="121" s="2" customFormat="1" ht="120" customHeight="1" spans="1:21">
      <c r="A121" s="11">
        <v>62</v>
      </c>
      <c r="B121" s="14" t="s">
        <v>60</v>
      </c>
      <c r="C121" s="14" t="s">
        <v>631</v>
      </c>
      <c r="D121" s="14" t="s">
        <v>632</v>
      </c>
      <c r="E121" s="17" t="s">
        <v>154</v>
      </c>
      <c r="F121" s="14" t="s">
        <v>633</v>
      </c>
      <c r="G121" s="19">
        <v>810</v>
      </c>
      <c r="H121" s="11" t="s">
        <v>497</v>
      </c>
      <c r="I121" s="27" t="s">
        <v>220</v>
      </c>
      <c r="J121" s="28">
        <v>8</v>
      </c>
      <c r="K121" s="19" t="s">
        <v>497</v>
      </c>
      <c r="L121" s="19">
        <v>5</v>
      </c>
      <c r="M121" s="28">
        <v>20</v>
      </c>
      <c r="N121" s="28">
        <v>139</v>
      </c>
      <c r="O121" s="28">
        <v>60</v>
      </c>
      <c r="P121" s="34">
        <v>243000</v>
      </c>
      <c r="Q121" s="37">
        <v>300000</v>
      </c>
      <c r="R121" s="38" t="s">
        <v>476</v>
      </c>
      <c r="S121" s="38" t="s">
        <v>477</v>
      </c>
      <c r="T121" s="38" t="s">
        <v>476</v>
      </c>
      <c r="U121" s="38" t="s">
        <v>478</v>
      </c>
    </row>
    <row r="122" s="2" customFormat="1" ht="120" customHeight="1" spans="1:21">
      <c r="A122" s="11"/>
      <c r="B122" s="14"/>
      <c r="C122" s="14"/>
      <c r="D122" s="14"/>
      <c r="E122" s="20"/>
      <c r="F122" s="14" t="s">
        <v>634</v>
      </c>
      <c r="G122" s="19">
        <v>810</v>
      </c>
      <c r="H122" s="11" t="s">
        <v>635</v>
      </c>
      <c r="I122" s="27"/>
      <c r="J122" s="28"/>
      <c r="K122" s="19" t="s">
        <v>635</v>
      </c>
      <c r="L122" s="19">
        <v>1</v>
      </c>
      <c r="M122" s="28"/>
      <c r="N122" s="28">
        <v>139</v>
      </c>
      <c r="O122" s="28">
        <v>60</v>
      </c>
      <c r="P122" s="34">
        <v>48600</v>
      </c>
      <c r="Q122" s="37"/>
      <c r="R122" s="38"/>
      <c r="S122" s="38"/>
      <c r="T122" s="38"/>
      <c r="U122" s="38"/>
    </row>
    <row r="123" s="2" customFormat="1" ht="120" customHeight="1" spans="1:21">
      <c r="A123" s="11"/>
      <c r="B123" s="14"/>
      <c r="C123" s="14"/>
      <c r="D123" s="14"/>
      <c r="E123" s="18"/>
      <c r="F123" s="14" t="s">
        <v>633</v>
      </c>
      <c r="G123" s="19">
        <v>30</v>
      </c>
      <c r="H123" s="11" t="s">
        <v>636</v>
      </c>
      <c r="I123" s="27"/>
      <c r="J123" s="28"/>
      <c r="K123" s="19" t="s">
        <v>602</v>
      </c>
      <c r="L123" s="19">
        <v>6</v>
      </c>
      <c r="M123" s="28"/>
      <c r="N123" s="28">
        <v>139</v>
      </c>
      <c r="O123" s="28">
        <v>60</v>
      </c>
      <c r="P123" s="34">
        <v>10800</v>
      </c>
      <c r="Q123" s="37"/>
      <c r="R123" s="38"/>
      <c r="S123" s="38"/>
      <c r="T123" s="38"/>
      <c r="U123" s="38"/>
    </row>
    <row r="124" s="2" customFormat="1" ht="150" customHeight="1" spans="1:21">
      <c r="A124" s="11">
        <v>63</v>
      </c>
      <c r="B124" s="14" t="s">
        <v>61</v>
      </c>
      <c r="C124" s="14" t="s">
        <v>637</v>
      </c>
      <c r="D124" s="14" t="s">
        <v>638</v>
      </c>
      <c r="E124" s="17" t="s">
        <v>154</v>
      </c>
      <c r="F124" s="14" t="s">
        <v>639</v>
      </c>
      <c r="G124" s="19">
        <v>139.92</v>
      </c>
      <c r="H124" s="11" t="s">
        <v>269</v>
      </c>
      <c r="I124" s="27" t="s">
        <v>157</v>
      </c>
      <c r="J124" s="28">
        <v>0</v>
      </c>
      <c r="K124" s="19" t="s">
        <v>269</v>
      </c>
      <c r="L124" s="19">
        <v>2</v>
      </c>
      <c r="M124" s="28">
        <v>8</v>
      </c>
      <c r="N124" s="28">
        <v>87.42</v>
      </c>
      <c r="O124" s="28">
        <f t="shared" ref="O124:O127" si="7">N124*0.5</f>
        <v>43.71</v>
      </c>
      <c r="P124" s="34">
        <v>12231.8064</v>
      </c>
      <c r="Q124" s="37">
        <v>50028</v>
      </c>
      <c r="R124" s="38" t="s">
        <v>640</v>
      </c>
      <c r="S124" s="38" t="s">
        <v>641</v>
      </c>
      <c r="T124" s="38" t="s">
        <v>640</v>
      </c>
      <c r="U124" s="38" t="s">
        <v>642</v>
      </c>
    </row>
    <row r="125" s="2" customFormat="1" ht="150" customHeight="1" spans="1:21">
      <c r="A125" s="11"/>
      <c r="B125" s="14"/>
      <c r="C125" s="14"/>
      <c r="D125" s="14"/>
      <c r="E125" s="18"/>
      <c r="F125" s="14" t="s">
        <v>639</v>
      </c>
      <c r="G125" s="19">
        <v>139.92</v>
      </c>
      <c r="H125" s="11" t="s">
        <v>643</v>
      </c>
      <c r="I125" s="27"/>
      <c r="J125" s="28"/>
      <c r="K125" s="19" t="s">
        <v>602</v>
      </c>
      <c r="L125" s="19">
        <v>6</v>
      </c>
      <c r="M125" s="28"/>
      <c r="N125" s="28">
        <v>90.0426</v>
      </c>
      <c r="O125" s="28">
        <f t="shared" si="7"/>
        <v>45.0213</v>
      </c>
      <c r="P125" s="34">
        <v>37796.281776</v>
      </c>
      <c r="Q125" s="37"/>
      <c r="R125" s="38"/>
      <c r="S125" s="38"/>
      <c r="T125" s="38"/>
      <c r="U125" s="38"/>
    </row>
    <row r="126" s="2" customFormat="1" ht="300" customHeight="1" spans="1:21">
      <c r="A126" s="11">
        <v>64</v>
      </c>
      <c r="B126" s="14" t="s">
        <v>62</v>
      </c>
      <c r="C126" s="14" t="s">
        <v>644</v>
      </c>
      <c r="D126" s="14" t="s">
        <v>645</v>
      </c>
      <c r="E126" s="13" t="s">
        <v>154</v>
      </c>
      <c r="F126" s="14" t="s">
        <v>646</v>
      </c>
      <c r="G126" s="19">
        <v>10</v>
      </c>
      <c r="H126" s="11" t="s">
        <v>647</v>
      </c>
      <c r="I126" s="27" t="s">
        <v>157</v>
      </c>
      <c r="J126" s="28">
        <v>0</v>
      </c>
      <c r="K126" s="19" t="s">
        <v>648</v>
      </c>
      <c r="L126" s="19">
        <v>5.29032258064516</v>
      </c>
      <c r="M126" s="28">
        <v>5.29032258064516</v>
      </c>
      <c r="N126" s="28">
        <v>100</v>
      </c>
      <c r="O126" s="28">
        <f t="shared" si="7"/>
        <v>50</v>
      </c>
      <c r="P126" s="34">
        <v>2645.16129032258</v>
      </c>
      <c r="Q126" s="37">
        <v>2645</v>
      </c>
      <c r="R126" s="38" t="s">
        <v>649</v>
      </c>
      <c r="S126" s="38" t="s">
        <v>650</v>
      </c>
      <c r="T126" s="38" t="s">
        <v>649</v>
      </c>
      <c r="U126" s="38" t="s">
        <v>651</v>
      </c>
    </row>
    <row r="127" s="2" customFormat="1" ht="300" customHeight="1" spans="1:21">
      <c r="A127" s="11">
        <v>65</v>
      </c>
      <c r="B127" s="14" t="s">
        <v>63</v>
      </c>
      <c r="C127" s="14" t="s">
        <v>652</v>
      </c>
      <c r="D127" s="14" t="s">
        <v>653</v>
      </c>
      <c r="E127" s="13" t="s">
        <v>154</v>
      </c>
      <c r="F127" s="14" t="s">
        <v>654</v>
      </c>
      <c r="G127" s="19">
        <v>290.95</v>
      </c>
      <c r="H127" s="11" t="s">
        <v>655</v>
      </c>
      <c r="I127" s="27" t="s">
        <v>220</v>
      </c>
      <c r="J127" s="28">
        <v>12</v>
      </c>
      <c r="K127" s="19" t="s">
        <v>265</v>
      </c>
      <c r="L127" s="19">
        <v>4</v>
      </c>
      <c r="M127" s="28">
        <v>16</v>
      </c>
      <c r="N127" s="28">
        <v>86.5236638597697</v>
      </c>
      <c r="O127" s="28">
        <f t="shared" si="7"/>
        <v>43.2618319298848</v>
      </c>
      <c r="P127" s="34">
        <v>50348.12</v>
      </c>
      <c r="Q127" s="37">
        <v>50348</v>
      </c>
      <c r="R127" s="38" t="s">
        <v>656</v>
      </c>
      <c r="S127" s="38" t="s">
        <v>657</v>
      </c>
      <c r="T127" s="38" t="s">
        <v>656</v>
      </c>
      <c r="U127" s="38" t="s">
        <v>658</v>
      </c>
    </row>
    <row r="128" s="2" customFormat="1" ht="300" customHeight="1" spans="1:21">
      <c r="A128" s="11">
        <v>66</v>
      </c>
      <c r="B128" s="14" t="s">
        <v>64</v>
      </c>
      <c r="C128" s="14" t="s">
        <v>659</v>
      </c>
      <c r="D128" s="14" t="s">
        <v>660</v>
      </c>
      <c r="E128" s="13" t="s">
        <v>154</v>
      </c>
      <c r="F128" s="14" t="s">
        <v>661</v>
      </c>
      <c r="G128" s="19">
        <v>20</v>
      </c>
      <c r="H128" s="11" t="s">
        <v>662</v>
      </c>
      <c r="I128" s="27" t="s">
        <v>157</v>
      </c>
      <c r="J128" s="28">
        <v>0</v>
      </c>
      <c r="K128" s="19" t="s">
        <v>663</v>
      </c>
      <c r="L128" s="19">
        <v>10.2258064516129</v>
      </c>
      <c r="M128" s="28">
        <v>10.2258064516129</v>
      </c>
      <c r="N128" s="28">
        <v>130</v>
      </c>
      <c r="O128" s="28">
        <v>60</v>
      </c>
      <c r="P128" s="34">
        <v>12270.9677419355</v>
      </c>
      <c r="Q128" s="37">
        <v>12270</v>
      </c>
      <c r="R128" s="38" t="s">
        <v>664</v>
      </c>
      <c r="S128" s="38" t="s">
        <v>665</v>
      </c>
      <c r="T128" s="38" t="s">
        <v>664</v>
      </c>
      <c r="U128" s="38" t="s">
        <v>666</v>
      </c>
    </row>
    <row r="129" s="2" customFormat="1" ht="150" customHeight="1" spans="1:21">
      <c r="A129" s="11">
        <v>67</v>
      </c>
      <c r="B129" s="14" t="s">
        <v>65</v>
      </c>
      <c r="C129" s="14" t="s">
        <v>667</v>
      </c>
      <c r="D129" s="14" t="s">
        <v>668</v>
      </c>
      <c r="E129" s="17" t="s">
        <v>154</v>
      </c>
      <c r="F129" s="14" t="s">
        <v>669</v>
      </c>
      <c r="G129" s="19">
        <v>690</v>
      </c>
      <c r="H129" s="11" t="s">
        <v>475</v>
      </c>
      <c r="I129" s="27" t="s">
        <v>220</v>
      </c>
      <c r="J129" s="28">
        <v>9</v>
      </c>
      <c r="K129" s="19" t="s">
        <v>475</v>
      </c>
      <c r="L129" s="19">
        <v>7</v>
      </c>
      <c r="M129" s="28">
        <v>21</v>
      </c>
      <c r="N129" s="28">
        <v>139</v>
      </c>
      <c r="O129" s="28">
        <v>60</v>
      </c>
      <c r="P129" s="34">
        <v>289800</v>
      </c>
      <c r="Q129" s="37">
        <v>300000</v>
      </c>
      <c r="R129" s="38" t="s">
        <v>476</v>
      </c>
      <c r="S129" s="38" t="s">
        <v>477</v>
      </c>
      <c r="T129" s="38" t="s">
        <v>476</v>
      </c>
      <c r="U129" s="38" t="s">
        <v>478</v>
      </c>
    </row>
    <row r="130" s="2" customFormat="1" ht="150" customHeight="1" spans="1:21">
      <c r="A130" s="11"/>
      <c r="B130" s="14"/>
      <c r="C130" s="14"/>
      <c r="D130" s="14"/>
      <c r="E130" s="18"/>
      <c r="F130" s="14" t="s">
        <v>670</v>
      </c>
      <c r="G130" s="19">
        <v>40</v>
      </c>
      <c r="H130" s="11" t="s">
        <v>671</v>
      </c>
      <c r="I130" s="27"/>
      <c r="J130" s="28"/>
      <c r="K130" s="19" t="s">
        <v>314</v>
      </c>
      <c r="L130" s="19">
        <v>5</v>
      </c>
      <c r="M130" s="28"/>
      <c r="N130" s="28">
        <v>139</v>
      </c>
      <c r="O130" s="28">
        <v>60</v>
      </c>
      <c r="P130" s="34">
        <v>12000</v>
      </c>
      <c r="Q130" s="37"/>
      <c r="R130" s="38"/>
      <c r="S130" s="38"/>
      <c r="T130" s="38"/>
      <c r="U130" s="38"/>
    </row>
    <row r="131" s="2" customFormat="1" ht="300" customHeight="1" spans="1:21">
      <c r="A131" s="11">
        <v>68</v>
      </c>
      <c r="B131" s="14" t="s">
        <v>66</v>
      </c>
      <c r="C131" s="14" t="s">
        <v>672</v>
      </c>
      <c r="D131" s="14" t="s">
        <v>673</v>
      </c>
      <c r="E131" s="13" t="s">
        <v>154</v>
      </c>
      <c r="F131" s="14" t="s">
        <v>674</v>
      </c>
      <c r="G131" s="19">
        <v>353</v>
      </c>
      <c r="H131" s="11" t="s">
        <v>675</v>
      </c>
      <c r="I131" s="27" t="s">
        <v>220</v>
      </c>
      <c r="J131" s="28">
        <v>6</v>
      </c>
      <c r="K131" s="19" t="s">
        <v>676</v>
      </c>
      <c r="L131" s="19">
        <v>10</v>
      </c>
      <c r="M131" s="28">
        <v>16</v>
      </c>
      <c r="N131" s="28">
        <v>140</v>
      </c>
      <c r="O131" s="28">
        <v>60</v>
      </c>
      <c r="P131" s="34">
        <v>211800</v>
      </c>
      <c r="Q131" s="37">
        <v>211800</v>
      </c>
      <c r="R131" s="38" t="s">
        <v>677</v>
      </c>
      <c r="S131" s="38" t="s">
        <v>678</v>
      </c>
      <c r="T131" s="38" t="s">
        <v>677</v>
      </c>
      <c r="U131" s="38" t="s">
        <v>679</v>
      </c>
    </row>
    <row r="132" s="2" customFormat="1" ht="150" customHeight="1" spans="1:21">
      <c r="A132" s="11">
        <v>69</v>
      </c>
      <c r="B132" s="14" t="s">
        <v>67</v>
      </c>
      <c r="C132" s="14" t="s">
        <v>680</v>
      </c>
      <c r="D132" s="14" t="s">
        <v>681</v>
      </c>
      <c r="E132" s="17" t="s">
        <v>154</v>
      </c>
      <c r="F132" s="14" t="s">
        <v>682</v>
      </c>
      <c r="G132" s="19">
        <v>843.72</v>
      </c>
      <c r="H132" s="11" t="s">
        <v>683</v>
      </c>
      <c r="I132" s="27" t="s">
        <v>220</v>
      </c>
      <c r="J132" s="28">
        <v>3</v>
      </c>
      <c r="K132" s="19" t="s">
        <v>684</v>
      </c>
      <c r="L132" s="19">
        <v>10</v>
      </c>
      <c r="M132" s="28">
        <v>15</v>
      </c>
      <c r="N132" s="28">
        <v>143.17</v>
      </c>
      <c r="O132" s="28">
        <v>60</v>
      </c>
      <c r="P132" s="34">
        <v>506232</v>
      </c>
      <c r="Q132" s="37">
        <v>300000</v>
      </c>
      <c r="R132" s="38" t="s">
        <v>476</v>
      </c>
      <c r="S132" s="38" t="s">
        <v>477</v>
      </c>
      <c r="T132" s="38" t="s">
        <v>476</v>
      </c>
      <c r="U132" s="38" t="s">
        <v>478</v>
      </c>
    </row>
    <row r="133" s="2" customFormat="1" ht="150" customHeight="1" spans="1:21">
      <c r="A133" s="11"/>
      <c r="B133" s="14"/>
      <c r="C133" s="14"/>
      <c r="D133" s="14"/>
      <c r="E133" s="18"/>
      <c r="F133" s="14" t="s">
        <v>682</v>
      </c>
      <c r="G133" s="19">
        <v>8</v>
      </c>
      <c r="H133" s="11" t="s">
        <v>685</v>
      </c>
      <c r="I133" s="27"/>
      <c r="J133" s="28"/>
      <c r="K133" s="19" t="s">
        <v>228</v>
      </c>
      <c r="L133" s="19">
        <v>2</v>
      </c>
      <c r="M133" s="28"/>
      <c r="N133" s="28">
        <v>225</v>
      </c>
      <c r="O133" s="28">
        <v>60</v>
      </c>
      <c r="P133" s="34">
        <v>960</v>
      </c>
      <c r="Q133" s="37"/>
      <c r="R133" s="38"/>
      <c r="S133" s="38"/>
      <c r="T133" s="38"/>
      <c r="U133" s="38"/>
    </row>
    <row r="134" s="2" customFormat="1" ht="150" customHeight="1" spans="1:21">
      <c r="A134" s="11">
        <v>70</v>
      </c>
      <c r="B134" s="14" t="s">
        <v>68</v>
      </c>
      <c r="C134" s="14" t="s">
        <v>686</v>
      </c>
      <c r="D134" s="14" t="s">
        <v>687</v>
      </c>
      <c r="E134" s="17" t="s">
        <v>154</v>
      </c>
      <c r="F134" s="14" t="s">
        <v>688</v>
      </c>
      <c r="G134" s="19">
        <v>523.8</v>
      </c>
      <c r="H134" s="11" t="s">
        <v>689</v>
      </c>
      <c r="I134" s="27" t="s">
        <v>157</v>
      </c>
      <c r="J134" s="28">
        <v>0</v>
      </c>
      <c r="K134" s="19" t="s">
        <v>690</v>
      </c>
      <c r="L134" s="19">
        <v>0.3</v>
      </c>
      <c r="M134" s="28">
        <v>12.3</v>
      </c>
      <c r="N134" s="28">
        <v>168</v>
      </c>
      <c r="O134" s="28">
        <v>60</v>
      </c>
      <c r="P134" s="34">
        <v>9428.4</v>
      </c>
      <c r="Q134" s="37">
        <v>309428</v>
      </c>
      <c r="R134" s="38" t="s">
        <v>691</v>
      </c>
      <c r="S134" s="38" t="s">
        <v>692</v>
      </c>
      <c r="T134" s="38" t="s">
        <v>691</v>
      </c>
      <c r="U134" s="38" t="s">
        <v>693</v>
      </c>
    </row>
    <row r="135" s="2" customFormat="1" ht="150" customHeight="1" spans="1:21">
      <c r="A135" s="11"/>
      <c r="B135" s="14"/>
      <c r="C135" s="14"/>
      <c r="D135" s="14"/>
      <c r="E135" s="20"/>
      <c r="F135" s="14" t="s">
        <v>688</v>
      </c>
      <c r="G135" s="19">
        <v>523.8</v>
      </c>
      <c r="H135" s="11" t="s">
        <v>689</v>
      </c>
      <c r="I135" s="27"/>
      <c r="J135" s="28"/>
      <c r="K135" s="19" t="s">
        <v>694</v>
      </c>
      <c r="L135" s="19">
        <v>11</v>
      </c>
      <c r="M135" s="28"/>
      <c r="N135" s="28">
        <v>168</v>
      </c>
      <c r="O135" s="28">
        <v>60</v>
      </c>
      <c r="P135" s="34">
        <v>345708</v>
      </c>
      <c r="Q135" s="37"/>
      <c r="R135" s="38"/>
      <c r="S135" s="38"/>
      <c r="T135" s="38"/>
      <c r="U135" s="38"/>
    </row>
    <row r="136" s="2" customFormat="1" ht="150" customHeight="1" spans="1:21">
      <c r="A136" s="11"/>
      <c r="B136" s="14"/>
      <c r="C136" s="14"/>
      <c r="D136" s="14"/>
      <c r="E136" s="20"/>
      <c r="F136" s="14" t="s">
        <v>688</v>
      </c>
      <c r="G136" s="19">
        <v>523.8</v>
      </c>
      <c r="H136" s="11" t="s">
        <v>695</v>
      </c>
      <c r="I136" s="27"/>
      <c r="J136" s="28"/>
      <c r="K136" s="19" t="s">
        <v>542</v>
      </c>
      <c r="L136" s="19">
        <v>1</v>
      </c>
      <c r="M136" s="28"/>
      <c r="N136" s="28">
        <v>139</v>
      </c>
      <c r="O136" s="28">
        <v>60</v>
      </c>
      <c r="P136" s="34">
        <v>31428</v>
      </c>
      <c r="Q136" s="37"/>
      <c r="R136" s="38"/>
      <c r="S136" s="38"/>
      <c r="T136" s="38"/>
      <c r="U136" s="38"/>
    </row>
    <row r="137" s="2" customFormat="1" ht="150" customHeight="1" spans="1:21">
      <c r="A137" s="11"/>
      <c r="B137" s="14"/>
      <c r="C137" s="14"/>
      <c r="D137" s="14"/>
      <c r="E137" s="18"/>
      <c r="F137" s="14" t="s">
        <v>696</v>
      </c>
      <c r="G137" s="19">
        <v>195.37</v>
      </c>
      <c r="H137" s="11" t="s">
        <v>697</v>
      </c>
      <c r="I137" s="27"/>
      <c r="J137" s="28"/>
      <c r="K137" s="19" t="s">
        <v>602</v>
      </c>
      <c r="L137" s="19">
        <v>6</v>
      </c>
      <c r="M137" s="28"/>
      <c r="N137" s="39">
        <v>76</v>
      </c>
      <c r="O137" s="28">
        <f>N137*0.5</f>
        <v>38</v>
      </c>
      <c r="P137" s="34">
        <v>44544.36</v>
      </c>
      <c r="Q137" s="37"/>
      <c r="R137" s="38"/>
      <c r="S137" s="38"/>
      <c r="T137" s="38"/>
      <c r="U137" s="38"/>
    </row>
    <row r="138" ht="150" customHeight="1" spans="1:21">
      <c r="A138" s="11">
        <v>71</v>
      </c>
      <c r="B138" s="11" t="s">
        <v>69</v>
      </c>
      <c r="C138" s="11" t="s">
        <v>698</v>
      </c>
      <c r="D138" s="11" t="s">
        <v>699</v>
      </c>
      <c r="E138" s="17" t="s">
        <v>154</v>
      </c>
      <c r="F138" s="11" t="s">
        <v>700</v>
      </c>
      <c r="G138" s="27">
        <v>44</v>
      </c>
      <c r="H138" s="11" t="s">
        <v>684</v>
      </c>
      <c r="I138" s="11" t="s">
        <v>157</v>
      </c>
      <c r="J138" s="28">
        <v>0</v>
      </c>
      <c r="K138" s="11" t="s">
        <v>684</v>
      </c>
      <c r="L138" s="27">
        <v>10</v>
      </c>
      <c r="M138" s="28">
        <f>L138+L139</f>
        <v>12</v>
      </c>
      <c r="N138" s="29">
        <v>145.45</v>
      </c>
      <c r="O138" s="29">
        <v>60</v>
      </c>
      <c r="P138" s="26">
        <f t="shared" ref="P138:P143" si="8">L138*G138*60</f>
        <v>26400</v>
      </c>
      <c r="Q138" s="37">
        <v>28920</v>
      </c>
      <c r="R138" s="38" t="s">
        <v>701</v>
      </c>
      <c r="S138" s="38" t="s">
        <v>702</v>
      </c>
      <c r="T138" s="38" t="s">
        <v>701</v>
      </c>
      <c r="U138" s="38" t="str">
        <f t="shared" ref="U138:U144" si="9">"港澳处、律所、会所三方审核结论一致，符合给予租金补贴"&amp;Q138&amp;"元条件。"</f>
        <v>港澳处、律所、会所三方审核结论一致，符合给予租金补贴28920元条件。</v>
      </c>
    </row>
    <row r="139" ht="150" customHeight="1" spans="1:21">
      <c r="A139" s="11"/>
      <c r="B139" s="11"/>
      <c r="C139" s="11"/>
      <c r="D139" s="11"/>
      <c r="E139" s="18"/>
      <c r="F139" s="11" t="s">
        <v>703</v>
      </c>
      <c r="G139" s="27">
        <v>21</v>
      </c>
      <c r="H139" s="11" t="s">
        <v>228</v>
      </c>
      <c r="I139" s="11"/>
      <c r="J139" s="28"/>
      <c r="K139" s="11" t="s">
        <v>228</v>
      </c>
      <c r="L139" s="27">
        <v>2</v>
      </c>
      <c r="M139" s="28"/>
      <c r="N139" s="30">
        <v>142.86</v>
      </c>
      <c r="O139" s="43"/>
      <c r="P139" s="26">
        <f t="shared" si="8"/>
        <v>2520</v>
      </c>
      <c r="Q139" s="37"/>
      <c r="R139" s="38"/>
      <c r="S139" s="38"/>
      <c r="T139" s="38"/>
      <c r="U139" s="38"/>
    </row>
    <row r="140" ht="300" customHeight="1" spans="1:21">
      <c r="A140" s="11">
        <v>72</v>
      </c>
      <c r="B140" s="11" t="s">
        <v>70</v>
      </c>
      <c r="C140" s="11" t="s">
        <v>289</v>
      </c>
      <c r="D140" s="11" t="s">
        <v>704</v>
      </c>
      <c r="E140" s="13" t="s">
        <v>154</v>
      </c>
      <c r="F140" s="11" t="s">
        <v>705</v>
      </c>
      <c r="G140" s="27">
        <v>10</v>
      </c>
      <c r="H140" s="11" t="s">
        <v>706</v>
      </c>
      <c r="I140" s="11" t="s">
        <v>157</v>
      </c>
      <c r="J140" s="28">
        <v>0</v>
      </c>
      <c r="K140" s="11" t="s">
        <v>707</v>
      </c>
      <c r="L140" s="27">
        <f>11+(31-12+1)/31</f>
        <v>11.6451612903226</v>
      </c>
      <c r="M140" s="28">
        <f t="shared" ref="M140:M143" si="10">L140</f>
        <v>11.6451612903226</v>
      </c>
      <c r="N140" s="28">
        <v>150</v>
      </c>
      <c r="O140" s="28">
        <v>60</v>
      </c>
      <c r="P140" s="26">
        <f t="shared" si="8"/>
        <v>6987.09677419355</v>
      </c>
      <c r="Q140" s="37">
        <v>6987</v>
      </c>
      <c r="R140" s="38" t="s">
        <v>708</v>
      </c>
      <c r="S140" s="38" t="s">
        <v>709</v>
      </c>
      <c r="T140" s="38" t="s">
        <v>708</v>
      </c>
      <c r="U140" s="38" t="str">
        <f t="shared" si="9"/>
        <v>港澳处、律所、会所三方审核结论一致，符合给予租金补贴6987元条件。</v>
      </c>
    </row>
    <row r="141" ht="300" customHeight="1" spans="1:21">
      <c r="A141" s="11">
        <v>73</v>
      </c>
      <c r="B141" s="11" t="s">
        <v>71</v>
      </c>
      <c r="C141" s="11" t="s">
        <v>289</v>
      </c>
      <c r="D141" s="11" t="s">
        <v>710</v>
      </c>
      <c r="E141" s="14" t="s">
        <v>154</v>
      </c>
      <c r="F141" s="11" t="s">
        <v>711</v>
      </c>
      <c r="G141" s="26">
        <v>10</v>
      </c>
      <c r="H141" s="11" t="s">
        <v>291</v>
      </c>
      <c r="I141" s="11" t="s">
        <v>157</v>
      </c>
      <c r="J141" s="28">
        <v>0</v>
      </c>
      <c r="K141" s="11" t="s">
        <v>292</v>
      </c>
      <c r="L141" s="26">
        <f>5+(31-5+1)/31</f>
        <v>5.87096774193548</v>
      </c>
      <c r="M141" s="28">
        <f t="shared" si="10"/>
        <v>5.87096774193548</v>
      </c>
      <c r="N141" s="28">
        <v>150</v>
      </c>
      <c r="O141" s="28">
        <v>60</v>
      </c>
      <c r="P141" s="26">
        <f t="shared" si="8"/>
        <v>3522.58064516129</v>
      </c>
      <c r="Q141" s="37">
        <v>3522</v>
      </c>
      <c r="R141" s="38" t="s">
        <v>293</v>
      </c>
      <c r="S141" s="38" t="s">
        <v>294</v>
      </c>
      <c r="T141" s="38" t="s">
        <v>293</v>
      </c>
      <c r="U141" s="38" t="str">
        <f t="shared" si="9"/>
        <v>港澳处、律所、会所三方审核结论一致，符合给予租金补贴3522元条件。</v>
      </c>
    </row>
    <row r="142" ht="300" customHeight="1" spans="1:21">
      <c r="A142" s="11">
        <v>74</v>
      </c>
      <c r="B142" s="11" t="s">
        <v>72</v>
      </c>
      <c r="C142" s="11" t="s">
        <v>712</v>
      </c>
      <c r="D142" s="11" t="s">
        <v>713</v>
      </c>
      <c r="E142" s="13" t="s">
        <v>154</v>
      </c>
      <c r="F142" s="11" t="s">
        <v>714</v>
      </c>
      <c r="G142" s="27">
        <v>124.693</v>
      </c>
      <c r="H142" s="11" t="s">
        <v>715</v>
      </c>
      <c r="I142" s="11" t="s">
        <v>157</v>
      </c>
      <c r="J142" s="28">
        <v>0</v>
      </c>
      <c r="K142" s="11" t="s">
        <v>716</v>
      </c>
      <c r="L142" s="26">
        <v>9</v>
      </c>
      <c r="M142" s="28">
        <f t="shared" si="10"/>
        <v>9</v>
      </c>
      <c r="N142" s="28">
        <v>143.17</v>
      </c>
      <c r="O142" s="28">
        <v>60</v>
      </c>
      <c r="P142" s="26">
        <f t="shared" si="8"/>
        <v>67334.22</v>
      </c>
      <c r="Q142" s="37">
        <v>67334</v>
      </c>
      <c r="R142" s="38" t="s">
        <v>717</v>
      </c>
      <c r="S142" s="38" t="s">
        <v>718</v>
      </c>
      <c r="T142" s="38" t="s">
        <v>717</v>
      </c>
      <c r="U142" s="38" t="str">
        <f t="shared" si="9"/>
        <v>港澳处、律所、会所三方审核结论一致，符合给予租金补贴67334元条件。</v>
      </c>
    </row>
    <row r="143" ht="300" customHeight="1" spans="1:21">
      <c r="A143" s="11">
        <v>75</v>
      </c>
      <c r="B143" s="11" t="s">
        <v>73</v>
      </c>
      <c r="C143" s="11" t="s">
        <v>289</v>
      </c>
      <c r="D143" s="11" t="s">
        <v>719</v>
      </c>
      <c r="E143" s="13" t="s">
        <v>154</v>
      </c>
      <c r="F143" s="11" t="s">
        <v>705</v>
      </c>
      <c r="G143" s="26">
        <v>10</v>
      </c>
      <c r="H143" s="11" t="s">
        <v>720</v>
      </c>
      <c r="I143" s="11" t="s">
        <v>157</v>
      </c>
      <c r="J143" s="28">
        <v>0</v>
      </c>
      <c r="K143" s="11" t="s">
        <v>721</v>
      </c>
      <c r="L143" s="26">
        <f>(31-4+1)/31+5</f>
        <v>5.90322580645161</v>
      </c>
      <c r="M143" s="28">
        <f t="shared" si="10"/>
        <v>5.90322580645161</v>
      </c>
      <c r="N143" s="28">
        <v>150</v>
      </c>
      <c r="O143" s="28">
        <v>60</v>
      </c>
      <c r="P143" s="26">
        <f t="shared" si="8"/>
        <v>3541.93548387097</v>
      </c>
      <c r="Q143" s="37">
        <v>3541</v>
      </c>
      <c r="R143" s="38" t="s">
        <v>722</v>
      </c>
      <c r="S143" s="38" t="s">
        <v>723</v>
      </c>
      <c r="T143" s="38" t="s">
        <v>722</v>
      </c>
      <c r="U143" s="38" t="str">
        <f t="shared" si="9"/>
        <v>港澳处、律所、会所三方审核结论一致，符合给予租金补贴3541元条件。</v>
      </c>
    </row>
    <row r="144" ht="150" customHeight="1" spans="1:21">
      <c r="A144" s="11">
        <v>76</v>
      </c>
      <c r="B144" s="11" t="s">
        <v>74</v>
      </c>
      <c r="C144" s="11" t="s">
        <v>724</v>
      </c>
      <c r="D144" s="11" t="s">
        <v>725</v>
      </c>
      <c r="E144" s="17" t="s">
        <v>154</v>
      </c>
      <c r="F144" s="11" t="s">
        <v>726</v>
      </c>
      <c r="G144" s="26">
        <v>70</v>
      </c>
      <c r="H144" s="11" t="s">
        <v>727</v>
      </c>
      <c r="I144" s="11" t="s">
        <v>157</v>
      </c>
      <c r="J144" s="28">
        <v>0</v>
      </c>
      <c r="K144" s="11" t="s">
        <v>727</v>
      </c>
      <c r="L144" s="26">
        <f>(31-10+1)/31+6+18/31</f>
        <v>7.29032258064516</v>
      </c>
      <c r="M144" s="28">
        <f>L144+L145</f>
        <v>7.99032258064516</v>
      </c>
      <c r="N144" s="28">
        <v>120</v>
      </c>
      <c r="O144" s="28">
        <v>60</v>
      </c>
      <c r="P144" s="26">
        <f t="shared" ref="P144:P148" si="11">G144*L144*60</f>
        <v>30619.3548387097</v>
      </c>
      <c r="Q144" s="37">
        <v>33559</v>
      </c>
      <c r="R144" s="38" t="s">
        <v>728</v>
      </c>
      <c r="S144" s="38" t="s">
        <v>729</v>
      </c>
      <c r="T144" s="38" t="s">
        <v>728</v>
      </c>
      <c r="U144" s="38" t="str">
        <f t="shared" si="9"/>
        <v>港澳处、律所、会所三方审核结论一致，符合给予租金补贴33559元条件。</v>
      </c>
    </row>
    <row r="145" ht="150" customHeight="1" spans="1:21">
      <c r="A145" s="11"/>
      <c r="B145" s="11"/>
      <c r="C145" s="11"/>
      <c r="D145" s="11"/>
      <c r="E145" s="18"/>
      <c r="F145" s="11"/>
      <c r="G145" s="26">
        <v>70</v>
      </c>
      <c r="H145" s="11" t="s">
        <v>730</v>
      </c>
      <c r="I145" s="11"/>
      <c r="J145" s="28"/>
      <c r="K145" s="11" t="s">
        <v>730</v>
      </c>
      <c r="L145" s="26">
        <f>(30-10+1)/30</f>
        <v>0.7</v>
      </c>
      <c r="M145" s="28"/>
      <c r="N145" s="28">
        <v>120</v>
      </c>
      <c r="O145" s="28">
        <v>60</v>
      </c>
      <c r="P145" s="26">
        <f t="shared" si="11"/>
        <v>2940</v>
      </c>
      <c r="Q145" s="37"/>
      <c r="R145" s="38"/>
      <c r="S145" s="38"/>
      <c r="T145" s="38"/>
      <c r="U145" s="38"/>
    </row>
    <row r="146" ht="300" customHeight="1" spans="1:21">
      <c r="A146" s="11">
        <v>77</v>
      </c>
      <c r="B146" s="11" t="s">
        <v>75</v>
      </c>
      <c r="C146" s="11" t="s">
        <v>289</v>
      </c>
      <c r="D146" s="11" t="s">
        <v>731</v>
      </c>
      <c r="E146" s="13" t="s">
        <v>154</v>
      </c>
      <c r="F146" s="11" t="s">
        <v>705</v>
      </c>
      <c r="G146" s="27">
        <v>10</v>
      </c>
      <c r="H146" s="11" t="s">
        <v>291</v>
      </c>
      <c r="I146" s="11" t="s">
        <v>157</v>
      </c>
      <c r="J146" s="28">
        <v>0</v>
      </c>
      <c r="K146" s="11" t="s">
        <v>292</v>
      </c>
      <c r="L146" s="27">
        <f>5+(31-5+1)/31</f>
        <v>5.87096774193548</v>
      </c>
      <c r="M146" s="28">
        <f t="shared" ref="M146:M154" si="12">L146</f>
        <v>5.87096774193548</v>
      </c>
      <c r="N146" s="28">
        <v>150</v>
      </c>
      <c r="O146" s="28">
        <v>60</v>
      </c>
      <c r="P146" s="27">
        <f t="shared" si="11"/>
        <v>3522.58064516129</v>
      </c>
      <c r="Q146" s="37">
        <v>3522</v>
      </c>
      <c r="R146" s="38" t="s">
        <v>293</v>
      </c>
      <c r="S146" s="38" t="s">
        <v>294</v>
      </c>
      <c r="T146" s="38" t="s">
        <v>293</v>
      </c>
      <c r="U146" s="38" t="str">
        <f t="shared" ref="U146:U148" si="13">"港澳处、律所、会所三方审核结论一致，符合给予租金补贴"&amp;Q146&amp;"元条件。"</f>
        <v>港澳处、律所、会所三方审核结论一致，符合给予租金补贴3522元条件。</v>
      </c>
    </row>
    <row r="147" ht="300" customHeight="1" spans="1:21">
      <c r="A147" s="11">
        <v>78</v>
      </c>
      <c r="B147" s="11" t="s">
        <v>76</v>
      </c>
      <c r="C147" s="11" t="s">
        <v>732</v>
      </c>
      <c r="D147" s="11" t="s">
        <v>733</v>
      </c>
      <c r="E147" s="13" t="s">
        <v>154</v>
      </c>
      <c r="F147" s="11" t="s">
        <v>734</v>
      </c>
      <c r="G147" s="27">
        <v>10</v>
      </c>
      <c r="H147" s="11" t="s">
        <v>735</v>
      </c>
      <c r="I147" s="11" t="s">
        <v>157</v>
      </c>
      <c r="J147" s="28">
        <v>0</v>
      </c>
      <c r="K147" s="11" t="s">
        <v>736</v>
      </c>
      <c r="L147" s="27">
        <f>5+(31-21+1)/31</f>
        <v>5.35483870967742</v>
      </c>
      <c r="M147" s="28">
        <f t="shared" si="12"/>
        <v>5.35483870967742</v>
      </c>
      <c r="N147" s="28">
        <v>130</v>
      </c>
      <c r="O147" s="28">
        <v>60</v>
      </c>
      <c r="P147" s="27">
        <f t="shared" si="11"/>
        <v>3212.90322580645</v>
      </c>
      <c r="Q147" s="37">
        <v>3212</v>
      </c>
      <c r="R147" s="38" t="s">
        <v>737</v>
      </c>
      <c r="S147" s="38" t="s">
        <v>738</v>
      </c>
      <c r="T147" s="38" t="s">
        <v>737</v>
      </c>
      <c r="U147" s="38" t="str">
        <f t="shared" si="13"/>
        <v>港澳处、律所、会所三方审核结论一致，符合给予租金补贴3212元条件。</v>
      </c>
    </row>
    <row r="148" ht="150" customHeight="1" spans="1:21">
      <c r="A148" s="11">
        <v>79</v>
      </c>
      <c r="B148" s="11" t="s">
        <v>77</v>
      </c>
      <c r="C148" s="11" t="s">
        <v>739</v>
      </c>
      <c r="D148" s="11" t="s">
        <v>740</v>
      </c>
      <c r="E148" s="17" t="s">
        <v>154</v>
      </c>
      <c r="F148" s="11" t="s">
        <v>741</v>
      </c>
      <c r="G148" s="27">
        <v>70</v>
      </c>
      <c r="H148" s="11" t="s">
        <v>742</v>
      </c>
      <c r="I148" s="11" t="s">
        <v>220</v>
      </c>
      <c r="J148" s="28">
        <f>7+(30-14+1)/30</f>
        <v>7.56666666666667</v>
      </c>
      <c r="K148" s="27" t="s">
        <v>743</v>
      </c>
      <c r="L148" s="27">
        <f>4+13/30</f>
        <v>4.43333333333333</v>
      </c>
      <c r="M148" s="28">
        <f>J148+L148+L149</f>
        <v>19</v>
      </c>
      <c r="N148" s="28">
        <v>120</v>
      </c>
      <c r="O148" s="28">
        <v>60</v>
      </c>
      <c r="P148" s="27">
        <f t="shared" si="11"/>
        <v>18620</v>
      </c>
      <c r="Q148" s="37">
        <v>22120</v>
      </c>
      <c r="R148" s="38" t="s">
        <v>744</v>
      </c>
      <c r="S148" s="38" t="s">
        <v>745</v>
      </c>
      <c r="T148" s="38" t="s">
        <v>744</v>
      </c>
      <c r="U148" s="38" t="str">
        <f t="shared" si="13"/>
        <v>港澳处、律所、会所三方审核结论一致，符合给予租金补贴22120元条件。</v>
      </c>
    </row>
    <row r="149" ht="150" customHeight="1" spans="1:21">
      <c r="A149" s="11"/>
      <c r="B149" s="11"/>
      <c r="C149" s="11"/>
      <c r="D149" s="11"/>
      <c r="E149" s="18"/>
      <c r="F149" s="11" t="s">
        <v>746</v>
      </c>
      <c r="G149" s="27">
        <v>10</v>
      </c>
      <c r="H149" s="11" t="s">
        <v>747</v>
      </c>
      <c r="I149" s="11"/>
      <c r="J149" s="28"/>
      <c r="K149" s="11" t="s">
        <v>499</v>
      </c>
      <c r="L149" s="27">
        <v>7</v>
      </c>
      <c r="M149" s="28"/>
      <c r="N149" s="28">
        <v>100</v>
      </c>
      <c r="O149" s="28">
        <v>50</v>
      </c>
      <c r="P149" s="27">
        <f>G149*L149*50</f>
        <v>3500</v>
      </c>
      <c r="Q149" s="37"/>
      <c r="R149" s="38"/>
      <c r="S149" s="38"/>
      <c r="T149" s="38"/>
      <c r="U149" s="38"/>
    </row>
    <row r="150" ht="300" customHeight="1" spans="1:21">
      <c r="A150" s="11">
        <v>80</v>
      </c>
      <c r="B150" s="11" t="s">
        <v>78</v>
      </c>
      <c r="C150" s="11" t="s">
        <v>748</v>
      </c>
      <c r="D150" s="11" t="s">
        <v>749</v>
      </c>
      <c r="E150" s="13" t="s">
        <v>154</v>
      </c>
      <c r="F150" s="11" t="s">
        <v>750</v>
      </c>
      <c r="G150" s="27">
        <v>103</v>
      </c>
      <c r="H150" s="11" t="s">
        <v>751</v>
      </c>
      <c r="I150" s="11" t="s">
        <v>157</v>
      </c>
      <c r="J150" s="28">
        <v>0</v>
      </c>
      <c r="K150" s="11" t="s">
        <v>752</v>
      </c>
      <c r="L150" s="27">
        <f>9+(30-12+1)/30</f>
        <v>9.63333333333333</v>
      </c>
      <c r="M150" s="28">
        <f t="shared" si="12"/>
        <v>9.63333333333333</v>
      </c>
      <c r="N150" s="28">
        <v>143.09</v>
      </c>
      <c r="O150" s="28">
        <v>60</v>
      </c>
      <c r="P150" s="27">
        <f t="shared" ref="P150:P154" si="14">G150*L150*60</f>
        <v>59534</v>
      </c>
      <c r="Q150" s="37">
        <v>59534</v>
      </c>
      <c r="R150" s="38" t="s">
        <v>753</v>
      </c>
      <c r="S150" s="38" t="s">
        <v>754</v>
      </c>
      <c r="T150" s="38" t="s">
        <v>753</v>
      </c>
      <c r="U150" s="38" t="str">
        <f t="shared" ref="U150:U155" si="15">"港澳处、律所、会所三方审核结论一致，符合给予租金补贴"&amp;Q150&amp;"元条件。"</f>
        <v>港澳处、律所、会所三方审核结论一致，符合给予租金补贴59534元条件。</v>
      </c>
    </row>
    <row r="151" ht="300" customHeight="1" spans="1:21">
      <c r="A151" s="11">
        <v>81</v>
      </c>
      <c r="B151" s="11" t="s">
        <v>79</v>
      </c>
      <c r="C151" s="11" t="s">
        <v>755</v>
      </c>
      <c r="D151" s="11" t="s">
        <v>756</v>
      </c>
      <c r="E151" s="13" t="s">
        <v>154</v>
      </c>
      <c r="F151" s="11" t="s">
        <v>757</v>
      </c>
      <c r="G151" s="27">
        <v>10</v>
      </c>
      <c r="H151" s="11" t="s">
        <v>758</v>
      </c>
      <c r="I151" s="11" t="s">
        <v>157</v>
      </c>
      <c r="J151" s="28">
        <v>0</v>
      </c>
      <c r="K151" s="27" t="s">
        <v>602</v>
      </c>
      <c r="L151" s="27">
        <v>6</v>
      </c>
      <c r="M151" s="28">
        <f t="shared" si="12"/>
        <v>6</v>
      </c>
      <c r="N151" s="28">
        <v>150</v>
      </c>
      <c r="O151" s="28">
        <v>60</v>
      </c>
      <c r="P151" s="27">
        <f t="shared" si="14"/>
        <v>3600</v>
      </c>
      <c r="Q151" s="37">
        <v>3600</v>
      </c>
      <c r="R151" s="38" t="s">
        <v>759</v>
      </c>
      <c r="S151" s="38" t="s">
        <v>760</v>
      </c>
      <c r="T151" s="38" t="s">
        <v>759</v>
      </c>
      <c r="U151" s="38" t="str">
        <f t="shared" si="15"/>
        <v>港澳处、律所、会所三方审核结论一致，符合给予租金补贴3600元条件。</v>
      </c>
    </row>
    <row r="152" ht="300" customHeight="1" spans="1:21">
      <c r="A152" s="11">
        <v>82</v>
      </c>
      <c r="B152" s="11" t="s">
        <v>80</v>
      </c>
      <c r="C152" s="11" t="s">
        <v>396</v>
      </c>
      <c r="D152" s="11" t="s">
        <v>761</v>
      </c>
      <c r="E152" s="14" t="s">
        <v>154</v>
      </c>
      <c r="F152" s="11" t="s">
        <v>762</v>
      </c>
      <c r="G152" s="27">
        <v>10</v>
      </c>
      <c r="H152" s="11" t="s">
        <v>763</v>
      </c>
      <c r="I152" s="11" t="s">
        <v>157</v>
      </c>
      <c r="J152" s="28">
        <v>0</v>
      </c>
      <c r="K152" s="11" t="s">
        <v>382</v>
      </c>
      <c r="L152" s="27">
        <v>13</v>
      </c>
      <c r="M152" s="28">
        <f t="shared" si="12"/>
        <v>13</v>
      </c>
      <c r="N152" s="28">
        <v>150</v>
      </c>
      <c r="O152" s="28">
        <v>60</v>
      </c>
      <c r="P152" s="27">
        <f t="shared" si="14"/>
        <v>7800</v>
      </c>
      <c r="Q152" s="37">
        <v>7800</v>
      </c>
      <c r="R152" s="38" t="s">
        <v>383</v>
      </c>
      <c r="S152" s="38" t="s">
        <v>384</v>
      </c>
      <c r="T152" s="38" t="s">
        <v>383</v>
      </c>
      <c r="U152" s="38" t="str">
        <f t="shared" si="15"/>
        <v>港澳处、律所、会所三方审核结论一致，符合给予租金补贴7800元条件。</v>
      </c>
    </row>
    <row r="153" ht="300" customHeight="1" spans="1:21">
      <c r="A153" s="11">
        <v>83</v>
      </c>
      <c r="B153" s="11" t="s">
        <v>81</v>
      </c>
      <c r="C153" s="11" t="s">
        <v>289</v>
      </c>
      <c r="D153" s="11" t="s">
        <v>764</v>
      </c>
      <c r="E153" s="14" t="s">
        <v>154</v>
      </c>
      <c r="F153" s="11" t="s">
        <v>765</v>
      </c>
      <c r="G153" s="27">
        <v>10</v>
      </c>
      <c r="H153" s="11" t="s">
        <v>766</v>
      </c>
      <c r="I153" s="11" t="s">
        <v>157</v>
      </c>
      <c r="J153" s="28">
        <v>0</v>
      </c>
      <c r="K153" s="11" t="s">
        <v>767</v>
      </c>
      <c r="L153" s="27">
        <f>(31-16+1)/31+9+6</f>
        <v>15.5161290322581</v>
      </c>
      <c r="M153" s="28">
        <f t="shared" si="12"/>
        <v>15.5161290322581</v>
      </c>
      <c r="N153" s="28">
        <v>150</v>
      </c>
      <c r="O153" s="28">
        <v>60</v>
      </c>
      <c r="P153" s="27">
        <f t="shared" si="14"/>
        <v>9309.67741935484</v>
      </c>
      <c r="Q153" s="37">
        <v>9309</v>
      </c>
      <c r="R153" s="38" t="s">
        <v>768</v>
      </c>
      <c r="S153" s="38" t="s">
        <v>769</v>
      </c>
      <c r="T153" s="38" t="s">
        <v>768</v>
      </c>
      <c r="U153" s="38" t="str">
        <f t="shared" si="15"/>
        <v>港澳处、律所、会所三方审核结论一致，符合给予租金补贴9309元条件。</v>
      </c>
    </row>
    <row r="154" ht="300" customHeight="1" spans="1:21">
      <c r="A154" s="11">
        <v>84</v>
      </c>
      <c r="B154" s="11" t="s">
        <v>82</v>
      </c>
      <c r="C154" s="11" t="s">
        <v>770</v>
      </c>
      <c r="D154" s="11" t="s">
        <v>771</v>
      </c>
      <c r="E154" s="13" t="s">
        <v>154</v>
      </c>
      <c r="F154" s="11" t="s">
        <v>772</v>
      </c>
      <c r="G154" s="27">
        <v>152</v>
      </c>
      <c r="H154" s="11" t="s">
        <v>613</v>
      </c>
      <c r="I154" s="11" t="s">
        <v>157</v>
      </c>
      <c r="J154" s="28">
        <v>0</v>
      </c>
      <c r="K154" s="11" t="s">
        <v>602</v>
      </c>
      <c r="L154" s="27">
        <v>6</v>
      </c>
      <c r="M154" s="28">
        <f t="shared" si="12"/>
        <v>6</v>
      </c>
      <c r="N154" s="28">
        <v>120</v>
      </c>
      <c r="O154" s="28">
        <v>60</v>
      </c>
      <c r="P154" s="27">
        <f t="shared" si="14"/>
        <v>54720</v>
      </c>
      <c r="Q154" s="37">
        <v>54720</v>
      </c>
      <c r="R154" s="38" t="s">
        <v>773</v>
      </c>
      <c r="S154" s="38" t="s">
        <v>774</v>
      </c>
      <c r="T154" s="38" t="s">
        <v>773</v>
      </c>
      <c r="U154" s="38" t="str">
        <f t="shared" si="15"/>
        <v>港澳处、律所、会所三方审核结论一致，符合给予租金补贴54720元条件。</v>
      </c>
    </row>
    <row r="155" ht="150" customHeight="1" spans="1:21">
      <c r="A155" s="11">
        <v>85</v>
      </c>
      <c r="B155" s="11" t="s">
        <v>83</v>
      </c>
      <c r="C155" s="11" t="s">
        <v>282</v>
      </c>
      <c r="D155" s="11" t="s">
        <v>775</v>
      </c>
      <c r="E155" s="17" t="s">
        <v>154</v>
      </c>
      <c r="F155" s="11" t="s">
        <v>776</v>
      </c>
      <c r="G155" s="27">
        <v>80</v>
      </c>
      <c r="H155" s="11" t="s">
        <v>777</v>
      </c>
      <c r="I155" s="11" t="s">
        <v>220</v>
      </c>
      <c r="J155" s="28">
        <v>6</v>
      </c>
      <c r="K155" s="27" t="s">
        <v>609</v>
      </c>
      <c r="L155" s="27">
        <v>6</v>
      </c>
      <c r="M155" s="28">
        <f>L155+L156+L157+J155</f>
        <v>18</v>
      </c>
      <c r="N155" s="28">
        <f>7500/80</f>
        <v>93.75</v>
      </c>
      <c r="O155" s="28">
        <f t="shared" ref="O155:O157" si="16">N155*0.5</f>
        <v>46.875</v>
      </c>
      <c r="P155" s="27">
        <f>G155*L155*7500/80/2</f>
        <v>22500</v>
      </c>
      <c r="Q155" s="37">
        <v>27616</v>
      </c>
      <c r="R155" s="38" t="s">
        <v>778</v>
      </c>
      <c r="S155" s="38" t="s">
        <v>779</v>
      </c>
      <c r="T155" s="38" t="s">
        <v>778</v>
      </c>
      <c r="U155" s="38" t="str">
        <f t="shared" si="15"/>
        <v>港澳处、律所、会所三方审核结论一致，符合给予租金补贴27616元条件。</v>
      </c>
    </row>
    <row r="156" ht="150" customHeight="1" spans="1:21">
      <c r="A156" s="11"/>
      <c r="B156" s="11"/>
      <c r="C156" s="11"/>
      <c r="D156" s="11"/>
      <c r="E156" s="20"/>
      <c r="F156" s="11" t="s">
        <v>780</v>
      </c>
      <c r="G156" s="27">
        <v>80</v>
      </c>
      <c r="H156" s="11" t="s">
        <v>501</v>
      </c>
      <c r="I156" s="11"/>
      <c r="J156" s="28"/>
      <c r="K156" s="11" t="s">
        <v>501</v>
      </c>
      <c r="L156" s="27">
        <v>1</v>
      </c>
      <c r="M156" s="28"/>
      <c r="N156" s="28">
        <f>5232/80</f>
        <v>65.4</v>
      </c>
      <c r="O156" s="28">
        <f t="shared" si="16"/>
        <v>32.7</v>
      </c>
      <c r="P156" s="27">
        <f>G156*L156*5232/80/2</f>
        <v>2616</v>
      </c>
      <c r="Q156" s="37"/>
      <c r="R156" s="38"/>
      <c r="S156" s="38"/>
      <c r="T156" s="38"/>
      <c r="U156" s="38"/>
    </row>
    <row r="157" ht="150" customHeight="1" spans="1:21">
      <c r="A157" s="11"/>
      <c r="B157" s="11"/>
      <c r="C157" s="11"/>
      <c r="D157" s="11"/>
      <c r="E157" s="18"/>
      <c r="F157" s="11" t="s">
        <v>781</v>
      </c>
      <c r="G157" s="27">
        <v>8.5</v>
      </c>
      <c r="H157" s="11" t="s">
        <v>782</v>
      </c>
      <c r="I157" s="11"/>
      <c r="J157" s="28"/>
      <c r="K157" s="11" t="s">
        <v>314</v>
      </c>
      <c r="L157" s="27">
        <v>5</v>
      </c>
      <c r="M157" s="28"/>
      <c r="N157" s="28">
        <f>1000/8.5</f>
        <v>117.647058823529</v>
      </c>
      <c r="O157" s="28">
        <f t="shared" si="16"/>
        <v>58.8235294117647</v>
      </c>
      <c r="P157" s="27">
        <f>G157*L157*1000/8.5/2</f>
        <v>2500</v>
      </c>
      <c r="Q157" s="37"/>
      <c r="R157" s="38"/>
      <c r="S157" s="38"/>
      <c r="T157" s="38"/>
      <c r="U157" s="38"/>
    </row>
    <row r="158" ht="150" customHeight="1" spans="1:21">
      <c r="A158" s="11">
        <v>86</v>
      </c>
      <c r="B158" s="11" t="s">
        <v>84</v>
      </c>
      <c r="C158" s="11" t="s">
        <v>783</v>
      </c>
      <c r="D158" s="11" t="s">
        <v>784</v>
      </c>
      <c r="E158" s="17" t="s">
        <v>154</v>
      </c>
      <c r="F158" s="11" t="s">
        <v>785</v>
      </c>
      <c r="G158" s="27">
        <v>42</v>
      </c>
      <c r="H158" s="11" t="s">
        <v>786</v>
      </c>
      <c r="I158" s="11" t="s">
        <v>157</v>
      </c>
      <c r="J158" s="28">
        <v>0</v>
      </c>
      <c r="K158" s="11" t="s">
        <v>786</v>
      </c>
      <c r="L158" s="27">
        <v>4</v>
      </c>
      <c r="M158" s="28">
        <f>L158+L160+L159</f>
        <v>13</v>
      </c>
      <c r="N158" s="28">
        <f>9000/42</f>
        <v>214.285714285714</v>
      </c>
      <c r="O158" s="28">
        <v>60</v>
      </c>
      <c r="P158" s="27">
        <f t="shared" ref="P158:P171" si="17">G158*L158*60</f>
        <v>10080</v>
      </c>
      <c r="Q158" s="37">
        <v>17580</v>
      </c>
      <c r="R158" s="38" t="s">
        <v>787</v>
      </c>
      <c r="S158" s="38" t="s">
        <v>788</v>
      </c>
      <c r="T158" s="38" t="s">
        <v>787</v>
      </c>
      <c r="U158" s="38" t="str">
        <f t="shared" ref="U158:U162" si="18">"港澳处、律所、会所三方审核结论一致，符合给予租金补贴"&amp;Q158&amp;"元条件。"</f>
        <v>港澳处、律所、会所三方审核结论一致，符合给予租金补贴17580元条件。</v>
      </c>
    </row>
    <row r="159" ht="150" customHeight="1" spans="1:21">
      <c r="A159" s="11"/>
      <c r="B159" s="11"/>
      <c r="C159" s="11"/>
      <c r="D159" s="11"/>
      <c r="E159" s="20"/>
      <c r="F159" s="11" t="s">
        <v>789</v>
      </c>
      <c r="G159" s="27">
        <v>15</v>
      </c>
      <c r="H159" s="11" t="s">
        <v>790</v>
      </c>
      <c r="I159" s="11"/>
      <c r="J159" s="28"/>
      <c r="K159" s="27" t="s">
        <v>791</v>
      </c>
      <c r="L159" s="27">
        <v>5</v>
      </c>
      <c r="M159" s="28"/>
      <c r="N159" s="28">
        <f>3000/15</f>
        <v>200</v>
      </c>
      <c r="O159" s="28">
        <v>60</v>
      </c>
      <c r="P159" s="27">
        <f>G160*5*60</f>
        <v>4500</v>
      </c>
      <c r="Q159" s="37"/>
      <c r="R159" s="38"/>
      <c r="S159" s="38"/>
      <c r="T159" s="38"/>
      <c r="U159" s="38"/>
    </row>
    <row r="160" ht="150" customHeight="1" spans="1:21">
      <c r="A160" s="11"/>
      <c r="B160" s="11"/>
      <c r="C160" s="11"/>
      <c r="D160" s="11"/>
      <c r="E160" s="18"/>
      <c r="F160" s="11" t="s">
        <v>789</v>
      </c>
      <c r="G160" s="27">
        <v>15</v>
      </c>
      <c r="H160" s="11" t="s">
        <v>790</v>
      </c>
      <c r="I160" s="11"/>
      <c r="J160" s="28"/>
      <c r="K160" s="27" t="s">
        <v>320</v>
      </c>
      <c r="L160" s="27">
        <v>4</v>
      </c>
      <c r="M160" s="28"/>
      <c r="N160" s="28">
        <f>1500/15</f>
        <v>100</v>
      </c>
      <c r="O160" s="28">
        <f>N160*0.5</f>
        <v>50</v>
      </c>
      <c r="P160" s="27">
        <f>1500*4*0.5</f>
        <v>3000</v>
      </c>
      <c r="Q160" s="37"/>
      <c r="R160" s="38"/>
      <c r="S160" s="38"/>
      <c r="T160" s="38"/>
      <c r="U160" s="38"/>
    </row>
    <row r="161" s="3" customFormat="1" ht="300" customHeight="1" spans="1:21">
      <c r="A161" s="11">
        <v>87</v>
      </c>
      <c r="B161" s="11" t="s">
        <v>85</v>
      </c>
      <c r="C161" s="11" t="s">
        <v>792</v>
      </c>
      <c r="D161" s="11" t="s">
        <v>793</v>
      </c>
      <c r="E161" s="14" t="s">
        <v>154</v>
      </c>
      <c r="F161" s="11" t="s">
        <v>794</v>
      </c>
      <c r="G161" s="27">
        <v>836.48</v>
      </c>
      <c r="H161" s="11" t="s">
        <v>795</v>
      </c>
      <c r="I161" s="11" t="s">
        <v>157</v>
      </c>
      <c r="J161" s="28">
        <v>0</v>
      </c>
      <c r="K161" s="27" t="s">
        <v>228</v>
      </c>
      <c r="L161" s="27">
        <v>2</v>
      </c>
      <c r="M161" s="28">
        <f>L161</f>
        <v>2</v>
      </c>
      <c r="N161" s="28">
        <v>139</v>
      </c>
      <c r="O161" s="28">
        <v>60</v>
      </c>
      <c r="P161" s="27">
        <f t="shared" si="17"/>
        <v>100377.6</v>
      </c>
      <c r="Q161" s="37">
        <v>100377</v>
      </c>
      <c r="R161" s="38" t="s">
        <v>796</v>
      </c>
      <c r="S161" s="38" t="s">
        <v>797</v>
      </c>
      <c r="T161" s="38" t="s">
        <v>796</v>
      </c>
      <c r="U161" s="38" t="str">
        <f t="shared" si="18"/>
        <v>港澳处、律所、会所三方审核结论一致，符合给予租金补贴100377元条件。</v>
      </c>
    </row>
    <row r="162" ht="150" customHeight="1" spans="1:21">
      <c r="A162" s="11">
        <v>88</v>
      </c>
      <c r="B162" s="11" t="s">
        <v>86</v>
      </c>
      <c r="C162" s="11" t="s">
        <v>798</v>
      </c>
      <c r="D162" s="11" t="s">
        <v>799</v>
      </c>
      <c r="E162" s="17" t="s">
        <v>154</v>
      </c>
      <c r="F162" s="11" t="s">
        <v>800</v>
      </c>
      <c r="G162" s="27">
        <v>800</v>
      </c>
      <c r="H162" s="11" t="s">
        <v>801</v>
      </c>
      <c r="I162" s="11" t="s">
        <v>220</v>
      </c>
      <c r="J162" s="28">
        <v>9</v>
      </c>
      <c r="K162" s="11" t="s">
        <v>801</v>
      </c>
      <c r="L162" s="27">
        <v>8</v>
      </c>
      <c r="M162" s="28">
        <f>J162+L162+L163</f>
        <v>21</v>
      </c>
      <c r="N162" s="28">
        <v>120</v>
      </c>
      <c r="O162" s="28">
        <v>60</v>
      </c>
      <c r="P162" s="27">
        <f t="shared" si="17"/>
        <v>384000</v>
      </c>
      <c r="Q162" s="37">
        <v>300000</v>
      </c>
      <c r="R162" s="38" t="s">
        <v>476</v>
      </c>
      <c r="S162" s="38" t="s">
        <v>477</v>
      </c>
      <c r="T162" s="38" t="s">
        <v>476</v>
      </c>
      <c r="U162" s="38" t="str">
        <f t="shared" si="18"/>
        <v>港澳处、律所、会所三方审核结论一致，符合给予租金补贴300000元条件。</v>
      </c>
    </row>
    <row r="163" ht="150" customHeight="1" spans="1:21">
      <c r="A163" s="11"/>
      <c r="B163" s="11"/>
      <c r="C163" s="11"/>
      <c r="D163" s="11"/>
      <c r="E163" s="18"/>
      <c r="F163" s="11" t="s">
        <v>802</v>
      </c>
      <c r="G163" s="27">
        <v>344</v>
      </c>
      <c r="H163" s="11" t="s">
        <v>319</v>
      </c>
      <c r="I163" s="11"/>
      <c r="J163" s="28"/>
      <c r="K163" s="27" t="s">
        <v>320</v>
      </c>
      <c r="L163" s="27">
        <v>4</v>
      </c>
      <c r="M163" s="28"/>
      <c r="N163" s="28">
        <v>120</v>
      </c>
      <c r="O163" s="28">
        <v>60</v>
      </c>
      <c r="P163" s="27">
        <f t="shared" si="17"/>
        <v>82560</v>
      </c>
      <c r="Q163" s="37"/>
      <c r="R163" s="38"/>
      <c r="S163" s="38"/>
      <c r="T163" s="38"/>
      <c r="U163" s="38"/>
    </row>
    <row r="164" ht="150" customHeight="1" spans="1:21">
      <c r="A164" s="11">
        <v>89</v>
      </c>
      <c r="B164" s="11" t="s">
        <v>87</v>
      </c>
      <c r="C164" s="11" t="s">
        <v>803</v>
      </c>
      <c r="D164" s="11" t="s">
        <v>804</v>
      </c>
      <c r="E164" s="17" t="s">
        <v>154</v>
      </c>
      <c r="F164" s="11" t="s">
        <v>805</v>
      </c>
      <c r="G164" s="27">
        <v>530</v>
      </c>
      <c r="H164" s="11" t="s">
        <v>806</v>
      </c>
      <c r="I164" s="11" t="s">
        <v>220</v>
      </c>
      <c r="J164" s="28">
        <f>(31-8+1)/31+5</f>
        <v>5.7741935483871</v>
      </c>
      <c r="K164" s="27" t="s">
        <v>265</v>
      </c>
      <c r="L164" s="27">
        <v>4</v>
      </c>
      <c r="M164" s="28">
        <f>L164+L165+J164</f>
        <v>15.5161290322581</v>
      </c>
      <c r="N164" s="28">
        <v>125</v>
      </c>
      <c r="O164" s="28">
        <v>60</v>
      </c>
      <c r="P164" s="27">
        <f t="shared" si="17"/>
        <v>127200</v>
      </c>
      <c r="Q164" s="37">
        <v>129956</v>
      </c>
      <c r="R164" s="38" t="s">
        <v>807</v>
      </c>
      <c r="S164" s="38" t="s">
        <v>808</v>
      </c>
      <c r="T164" s="38" t="s">
        <v>807</v>
      </c>
      <c r="U164" s="38" t="str">
        <f t="shared" ref="U164:U170" si="19">"港澳处、律所、会所三方审核结论一致，符合给予租金补贴"&amp;Q164&amp;"元条件。"</f>
        <v>港澳处、律所、会所三方审核结论一致，符合给予租金补贴129956元条件。</v>
      </c>
    </row>
    <row r="165" ht="150" customHeight="1" spans="1:21">
      <c r="A165" s="11"/>
      <c r="B165" s="11"/>
      <c r="C165" s="11"/>
      <c r="D165" s="11"/>
      <c r="E165" s="18"/>
      <c r="F165" s="11" t="s">
        <v>809</v>
      </c>
      <c r="G165" s="27">
        <v>8</v>
      </c>
      <c r="H165" s="11" t="s">
        <v>810</v>
      </c>
      <c r="I165" s="11"/>
      <c r="J165" s="28"/>
      <c r="K165" s="11" t="s">
        <v>811</v>
      </c>
      <c r="L165" s="27">
        <f>(31-9+1)/31+5</f>
        <v>5.74193548387097</v>
      </c>
      <c r="M165" s="28"/>
      <c r="N165" s="28">
        <v>147.46</v>
      </c>
      <c r="O165" s="28">
        <v>60</v>
      </c>
      <c r="P165" s="27">
        <f t="shared" si="17"/>
        <v>2756.12903225806</v>
      </c>
      <c r="Q165" s="37"/>
      <c r="R165" s="38"/>
      <c r="S165" s="38"/>
      <c r="T165" s="38"/>
      <c r="U165" s="38"/>
    </row>
    <row r="166" s="3" customFormat="1" ht="300" customHeight="1" spans="1:21">
      <c r="A166" s="11">
        <v>90</v>
      </c>
      <c r="B166" s="11" t="s">
        <v>1151</v>
      </c>
      <c r="C166" s="11" t="s">
        <v>1122</v>
      </c>
      <c r="D166" s="11" t="s">
        <v>1152</v>
      </c>
      <c r="E166" s="11" t="s">
        <v>154</v>
      </c>
      <c r="F166" s="11" t="s">
        <v>1153</v>
      </c>
      <c r="G166" s="27">
        <v>241</v>
      </c>
      <c r="H166" s="11" t="s">
        <v>1154</v>
      </c>
      <c r="I166" s="11" t="s">
        <v>157</v>
      </c>
      <c r="J166" s="28">
        <v>0</v>
      </c>
      <c r="K166" s="27" t="s">
        <v>835</v>
      </c>
      <c r="L166" s="27">
        <v>8</v>
      </c>
      <c r="M166" s="28">
        <f t="shared" ref="M166:M169" si="20">L166+J166</f>
        <v>8</v>
      </c>
      <c r="N166" s="28">
        <f>38560/241</f>
        <v>160</v>
      </c>
      <c r="O166" s="28">
        <v>60</v>
      </c>
      <c r="P166" s="27">
        <f t="shared" si="17"/>
        <v>115680</v>
      </c>
      <c r="Q166" s="37">
        <v>115680</v>
      </c>
      <c r="R166" s="38" t="s">
        <v>1155</v>
      </c>
      <c r="S166" s="38" t="s">
        <v>1156</v>
      </c>
      <c r="T166" s="38" t="s">
        <v>1155</v>
      </c>
      <c r="U166" s="38" t="str">
        <f t="shared" si="19"/>
        <v>港澳处、律所、会所三方审核结论一致，符合给予租金补贴115680元条件。</v>
      </c>
    </row>
    <row r="167" ht="300" customHeight="1" spans="1:21">
      <c r="A167" s="11">
        <v>91</v>
      </c>
      <c r="B167" s="11" t="s">
        <v>88</v>
      </c>
      <c r="C167" s="11" t="s">
        <v>289</v>
      </c>
      <c r="D167" s="11" t="s">
        <v>812</v>
      </c>
      <c r="E167" s="13" t="s">
        <v>154</v>
      </c>
      <c r="F167" s="11" t="s">
        <v>705</v>
      </c>
      <c r="G167" s="27">
        <v>10</v>
      </c>
      <c r="H167" s="11" t="s">
        <v>291</v>
      </c>
      <c r="I167" s="11" t="s">
        <v>157</v>
      </c>
      <c r="J167" s="28">
        <v>0</v>
      </c>
      <c r="K167" s="11" t="s">
        <v>292</v>
      </c>
      <c r="L167" s="27">
        <f>5+(31-5+1)/31</f>
        <v>5.87096774193548</v>
      </c>
      <c r="M167" s="28">
        <f t="shared" si="20"/>
        <v>5.87096774193548</v>
      </c>
      <c r="N167" s="28">
        <v>150</v>
      </c>
      <c r="O167" s="28">
        <v>60</v>
      </c>
      <c r="P167" s="27">
        <f t="shared" si="17"/>
        <v>3522.58064516129</v>
      </c>
      <c r="Q167" s="37">
        <v>3522</v>
      </c>
      <c r="R167" s="38" t="s">
        <v>293</v>
      </c>
      <c r="S167" s="38" t="s">
        <v>294</v>
      </c>
      <c r="T167" s="38" t="s">
        <v>293</v>
      </c>
      <c r="U167" s="38" t="str">
        <f t="shared" si="19"/>
        <v>港澳处、律所、会所三方审核结论一致，符合给予租金补贴3522元条件。</v>
      </c>
    </row>
    <row r="168" ht="300" customHeight="1" spans="1:21">
      <c r="A168" s="11">
        <v>92</v>
      </c>
      <c r="B168" s="11" t="s">
        <v>89</v>
      </c>
      <c r="C168" s="11" t="s">
        <v>813</v>
      </c>
      <c r="D168" s="11" t="s">
        <v>814</v>
      </c>
      <c r="E168" s="13" t="s">
        <v>154</v>
      </c>
      <c r="F168" s="11" t="s">
        <v>815</v>
      </c>
      <c r="G168" s="27">
        <v>150</v>
      </c>
      <c r="H168" s="11" t="s">
        <v>816</v>
      </c>
      <c r="I168" s="11" t="s">
        <v>157</v>
      </c>
      <c r="J168" s="28">
        <v>0</v>
      </c>
      <c r="K168" s="27" t="s">
        <v>817</v>
      </c>
      <c r="L168" s="27">
        <f>13+(31-12+1)/31</f>
        <v>13.6451612903226</v>
      </c>
      <c r="M168" s="28">
        <f t="shared" si="20"/>
        <v>13.6451612903226</v>
      </c>
      <c r="N168" s="28">
        <f>20000/150</f>
        <v>133.333333333333</v>
      </c>
      <c r="O168" s="28">
        <v>60</v>
      </c>
      <c r="P168" s="27">
        <f t="shared" si="17"/>
        <v>122806.451612903</v>
      </c>
      <c r="Q168" s="37">
        <v>122806</v>
      </c>
      <c r="R168" s="38" t="s">
        <v>818</v>
      </c>
      <c r="S168" s="38" t="s">
        <v>819</v>
      </c>
      <c r="T168" s="38" t="s">
        <v>818</v>
      </c>
      <c r="U168" s="38" t="str">
        <f t="shared" si="19"/>
        <v>港澳处、律所、会所三方审核结论一致，符合给予租金补贴122806元条件。</v>
      </c>
    </row>
    <row r="169" ht="300" customHeight="1" spans="1:21">
      <c r="A169" s="11">
        <v>93</v>
      </c>
      <c r="B169" s="11" t="s">
        <v>90</v>
      </c>
      <c r="C169" s="11" t="s">
        <v>820</v>
      </c>
      <c r="D169" s="11" t="s">
        <v>821</v>
      </c>
      <c r="E169" s="13" t="s">
        <v>154</v>
      </c>
      <c r="F169" s="11" t="s">
        <v>822</v>
      </c>
      <c r="G169" s="27">
        <v>10</v>
      </c>
      <c r="H169" s="11" t="s">
        <v>823</v>
      </c>
      <c r="I169" s="11" t="s">
        <v>157</v>
      </c>
      <c r="J169" s="28">
        <v>0</v>
      </c>
      <c r="K169" s="11" t="s">
        <v>824</v>
      </c>
      <c r="L169" s="27">
        <f>15+30/31</f>
        <v>15.9677419354839</v>
      </c>
      <c r="M169" s="28">
        <f t="shared" si="20"/>
        <v>15.9677419354839</v>
      </c>
      <c r="N169" s="28">
        <v>150</v>
      </c>
      <c r="O169" s="28">
        <v>60</v>
      </c>
      <c r="P169" s="27">
        <f t="shared" si="17"/>
        <v>9580.64516129032</v>
      </c>
      <c r="Q169" s="37">
        <v>9580</v>
      </c>
      <c r="R169" s="38" t="s">
        <v>825</v>
      </c>
      <c r="S169" s="38" t="s">
        <v>826</v>
      </c>
      <c r="T169" s="38" t="s">
        <v>825</v>
      </c>
      <c r="U169" s="38" t="str">
        <f t="shared" si="19"/>
        <v>港澳处、律所、会所三方审核结论一致，符合给予租金补贴9580元条件。</v>
      </c>
    </row>
    <row r="170" ht="150" customHeight="1" spans="1:21">
      <c r="A170" s="11">
        <v>94</v>
      </c>
      <c r="B170" s="11" t="s">
        <v>91</v>
      </c>
      <c r="C170" s="11" t="s">
        <v>827</v>
      </c>
      <c r="D170" s="11" t="s">
        <v>828</v>
      </c>
      <c r="E170" s="17" t="s">
        <v>154</v>
      </c>
      <c r="F170" s="11" t="s">
        <v>829</v>
      </c>
      <c r="G170" s="27">
        <v>112</v>
      </c>
      <c r="H170" s="11" t="s">
        <v>830</v>
      </c>
      <c r="I170" s="11" t="s">
        <v>220</v>
      </c>
      <c r="J170" s="28">
        <v>6</v>
      </c>
      <c r="K170" s="27" t="s">
        <v>265</v>
      </c>
      <c r="L170" s="27">
        <v>4</v>
      </c>
      <c r="M170" s="28">
        <f>J170+L170+L171</f>
        <v>18</v>
      </c>
      <c r="N170" s="28">
        <f>22000/112</f>
        <v>196.428571428571</v>
      </c>
      <c r="O170" s="28">
        <v>60</v>
      </c>
      <c r="P170" s="27">
        <f t="shared" si="17"/>
        <v>26880</v>
      </c>
      <c r="Q170" s="37">
        <v>48384</v>
      </c>
      <c r="R170" s="38" t="s">
        <v>831</v>
      </c>
      <c r="S170" s="38" t="s">
        <v>832</v>
      </c>
      <c r="T170" s="38" t="s">
        <v>831</v>
      </c>
      <c r="U170" s="38" t="str">
        <f t="shared" si="19"/>
        <v>港澳处、律所、会所三方审核结论一致，符合给予租金补贴48384元条件。</v>
      </c>
    </row>
    <row r="171" ht="150" customHeight="1" spans="1:21">
      <c r="A171" s="11"/>
      <c r="B171" s="11"/>
      <c r="C171" s="11"/>
      <c r="D171" s="11"/>
      <c r="E171" s="18"/>
      <c r="F171" s="11" t="s">
        <v>833</v>
      </c>
      <c r="G171" s="27">
        <v>44.8</v>
      </c>
      <c r="H171" s="11" t="s">
        <v>834</v>
      </c>
      <c r="I171" s="11"/>
      <c r="J171" s="28"/>
      <c r="K171" s="11" t="s">
        <v>835</v>
      </c>
      <c r="L171" s="27">
        <v>8</v>
      </c>
      <c r="M171" s="28"/>
      <c r="N171" s="28">
        <f>10000/44.8</f>
        <v>223.214285714286</v>
      </c>
      <c r="O171" s="28">
        <v>60</v>
      </c>
      <c r="P171" s="27">
        <f t="shared" si="17"/>
        <v>21504</v>
      </c>
      <c r="Q171" s="37"/>
      <c r="R171" s="38"/>
      <c r="S171" s="38"/>
      <c r="T171" s="38"/>
      <c r="U171" s="38"/>
    </row>
    <row r="172" ht="300" customHeight="1" spans="1:21">
      <c r="A172" s="11">
        <v>95</v>
      </c>
      <c r="B172" s="11" t="s">
        <v>92</v>
      </c>
      <c r="C172" s="11" t="s">
        <v>255</v>
      </c>
      <c r="D172" s="11" t="s">
        <v>836</v>
      </c>
      <c r="E172" s="13" t="s">
        <v>154</v>
      </c>
      <c r="F172" s="11" t="s">
        <v>837</v>
      </c>
      <c r="G172" s="27">
        <v>204.62</v>
      </c>
      <c r="H172" s="11" t="s">
        <v>838</v>
      </c>
      <c r="I172" s="11" t="s">
        <v>220</v>
      </c>
      <c r="J172" s="28">
        <v>10</v>
      </c>
      <c r="K172" s="11" t="s">
        <v>838</v>
      </c>
      <c r="L172" s="27">
        <f>(31-18+1)/31+10</f>
        <v>10.4516129032258</v>
      </c>
      <c r="M172" s="28">
        <f t="shared" ref="M172:M174" si="21">L172+J172</f>
        <v>20.4516129032258</v>
      </c>
      <c r="N172" s="28">
        <f>21662.58/204.62</f>
        <v>105.867363894048</v>
      </c>
      <c r="O172" s="28">
        <f>P172/L172/G172</f>
        <v>52.9781663179323</v>
      </c>
      <c r="P172" s="27">
        <f>(21662.85*7+21662.58*2+21663.12+9970.94)*0.5</f>
        <v>113299.585</v>
      </c>
      <c r="Q172" s="37">
        <v>113299</v>
      </c>
      <c r="R172" s="38" t="s">
        <v>839</v>
      </c>
      <c r="S172" s="38" t="s">
        <v>840</v>
      </c>
      <c r="T172" s="38" t="s">
        <v>839</v>
      </c>
      <c r="U172" s="38" t="str">
        <f t="shared" ref="U172:U175" si="22">"港澳处、律所、会所三方审核结论一致，符合给予租金补贴"&amp;Q172&amp;"元条件。"</f>
        <v>港澳处、律所、会所三方审核结论一致，符合给予租金补贴113299元条件。</v>
      </c>
    </row>
    <row r="173" s="3" customFormat="1" ht="300" customHeight="1" spans="1:21">
      <c r="A173" s="11">
        <v>96</v>
      </c>
      <c r="B173" s="11" t="s">
        <v>1157</v>
      </c>
      <c r="C173" s="11" t="s">
        <v>933</v>
      </c>
      <c r="D173" s="11" t="s">
        <v>1158</v>
      </c>
      <c r="E173" s="11" t="s">
        <v>154</v>
      </c>
      <c r="F173" s="11" t="s">
        <v>1159</v>
      </c>
      <c r="G173" s="27">
        <v>318.89</v>
      </c>
      <c r="H173" s="11" t="s">
        <v>1160</v>
      </c>
      <c r="I173" s="11" t="s">
        <v>157</v>
      </c>
      <c r="J173" s="28">
        <v>0</v>
      </c>
      <c r="K173" s="27" t="s">
        <v>1161</v>
      </c>
      <c r="L173" s="27">
        <f>7+7/30</f>
        <v>7.23333333333333</v>
      </c>
      <c r="M173" s="28">
        <f t="shared" si="21"/>
        <v>7.23333333333333</v>
      </c>
      <c r="N173" s="28">
        <f>51022.4/318.89</f>
        <v>160</v>
      </c>
      <c r="O173" s="28">
        <v>60</v>
      </c>
      <c r="P173" s="27">
        <f t="shared" ref="P173:P177" si="23">G173*L173*60</f>
        <v>138398.26</v>
      </c>
      <c r="Q173" s="37">
        <v>138398</v>
      </c>
      <c r="R173" s="38" t="s">
        <v>1162</v>
      </c>
      <c r="S173" s="38" t="s">
        <v>1163</v>
      </c>
      <c r="T173" s="38" t="s">
        <v>1162</v>
      </c>
      <c r="U173" s="38" t="str">
        <f t="shared" si="22"/>
        <v>港澳处、律所、会所三方审核结论一致，符合给予租金补贴138398元条件。</v>
      </c>
    </row>
    <row r="174" s="3" customFormat="1" ht="300" customHeight="1" spans="1:21">
      <c r="A174" s="11">
        <v>97</v>
      </c>
      <c r="B174" s="11" t="s">
        <v>93</v>
      </c>
      <c r="C174" s="11" t="s">
        <v>841</v>
      </c>
      <c r="D174" s="11" t="s">
        <v>842</v>
      </c>
      <c r="E174" s="11" t="s">
        <v>154</v>
      </c>
      <c r="F174" s="11" t="s">
        <v>843</v>
      </c>
      <c r="G174" s="27">
        <v>5</v>
      </c>
      <c r="H174" s="11" t="s">
        <v>844</v>
      </c>
      <c r="I174" s="11" t="s">
        <v>157</v>
      </c>
      <c r="J174" s="28">
        <v>0</v>
      </c>
      <c r="K174" s="27" t="s">
        <v>521</v>
      </c>
      <c r="L174" s="27">
        <f>(31-15+1)/31+5</f>
        <v>5.54838709677419</v>
      </c>
      <c r="M174" s="28">
        <f t="shared" si="21"/>
        <v>5.54838709677419</v>
      </c>
      <c r="N174" s="28">
        <f>1000/5</f>
        <v>200</v>
      </c>
      <c r="O174" s="28">
        <v>60</v>
      </c>
      <c r="P174" s="27">
        <f t="shared" si="23"/>
        <v>1664.51612903226</v>
      </c>
      <c r="Q174" s="37">
        <v>1664</v>
      </c>
      <c r="R174" s="38" t="s">
        <v>845</v>
      </c>
      <c r="S174" s="38" t="s">
        <v>846</v>
      </c>
      <c r="T174" s="38" t="s">
        <v>845</v>
      </c>
      <c r="U174" s="38" t="str">
        <f t="shared" si="22"/>
        <v>港澳处、律所、会所三方审核结论一致，符合给予租金补贴1664元条件。</v>
      </c>
    </row>
    <row r="175" ht="150" customHeight="1" spans="1:21">
      <c r="A175" s="11">
        <v>98</v>
      </c>
      <c r="B175" s="11" t="s">
        <v>94</v>
      </c>
      <c r="C175" s="11" t="s">
        <v>847</v>
      </c>
      <c r="D175" s="11" t="s">
        <v>848</v>
      </c>
      <c r="E175" s="17" t="s">
        <v>154</v>
      </c>
      <c r="F175" s="11" t="s">
        <v>849</v>
      </c>
      <c r="G175" s="27">
        <v>168.53</v>
      </c>
      <c r="H175" s="11" t="s">
        <v>643</v>
      </c>
      <c r="I175" s="11" t="s">
        <v>157</v>
      </c>
      <c r="J175" s="28">
        <v>0</v>
      </c>
      <c r="K175" s="27" t="s">
        <v>602</v>
      </c>
      <c r="L175" s="27">
        <v>6</v>
      </c>
      <c r="M175" s="28">
        <f>18</f>
        <v>18</v>
      </c>
      <c r="N175" s="28">
        <v>90.04</v>
      </c>
      <c r="O175" s="28">
        <f>N175/2</f>
        <v>45.02</v>
      </c>
      <c r="P175" s="27">
        <f>G175*90.04*L175*0.5</f>
        <v>45523.3236</v>
      </c>
      <c r="Q175" s="37">
        <v>120739</v>
      </c>
      <c r="R175" s="38" t="s">
        <v>850</v>
      </c>
      <c r="S175" s="38" t="s">
        <v>851</v>
      </c>
      <c r="T175" s="38" t="s">
        <v>850</v>
      </c>
      <c r="U175" s="38" t="str">
        <f t="shared" si="22"/>
        <v>港澳处、律所、会所三方审核结论一致，符合给予租金补贴120739元条件。</v>
      </c>
    </row>
    <row r="176" ht="150" customHeight="1" spans="1:21">
      <c r="A176" s="11"/>
      <c r="B176" s="11"/>
      <c r="C176" s="11"/>
      <c r="D176" s="11"/>
      <c r="E176" s="20"/>
      <c r="F176" s="11" t="s">
        <v>852</v>
      </c>
      <c r="G176" s="27">
        <v>74.17</v>
      </c>
      <c r="H176" s="11" t="s">
        <v>853</v>
      </c>
      <c r="I176" s="11"/>
      <c r="J176" s="28"/>
      <c r="K176" s="11" t="s">
        <v>853</v>
      </c>
      <c r="L176" s="27">
        <v>11</v>
      </c>
      <c r="M176" s="28"/>
      <c r="N176" s="28">
        <f>10400/74.17</f>
        <v>140.218417149791</v>
      </c>
      <c r="O176" s="28">
        <v>60</v>
      </c>
      <c r="P176" s="27">
        <f t="shared" si="23"/>
        <v>48952.2</v>
      </c>
      <c r="Q176" s="37"/>
      <c r="R176" s="38"/>
      <c r="S176" s="38"/>
      <c r="T176" s="38"/>
      <c r="U176" s="38"/>
    </row>
    <row r="177" ht="150" customHeight="1" spans="1:21">
      <c r="A177" s="11"/>
      <c r="B177" s="11"/>
      <c r="C177" s="11"/>
      <c r="D177" s="11"/>
      <c r="E177" s="20"/>
      <c r="F177" s="11" t="s">
        <v>854</v>
      </c>
      <c r="G177" s="27">
        <v>39.55</v>
      </c>
      <c r="H177" s="11" t="s">
        <v>855</v>
      </c>
      <c r="I177" s="11"/>
      <c r="J177" s="28"/>
      <c r="K177" s="11" t="s">
        <v>855</v>
      </c>
      <c r="L177" s="27">
        <f>(28-3+1)/28+10</f>
        <v>10.9285714285714</v>
      </c>
      <c r="M177" s="28"/>
      <c r="N177" s="28">
        <f>5500/39.55</f>
        <v>139.064475347661</v>
      </c>
      <c r="O177" s="28">
        <v>60</v>
      </c>
      <c r="P177" s="27">
        <f t="shared" si="23"/>
        <v>25933.5</v>
      </c>
      <c r="Q177" s="37"/>
      <c r="R177" s="38"/>
      <c r="S177" s="38"/>
      <c r="T177" s="38"/>
      <c r="U177" s="38"/>
    </row>
    <row r="178" ht="150" customHeight="1" spans="1:21">
      <c r="A178" s="11"/>
      <c r="B178" s="11"/>
      <c r="C178" s="11"/>
      <c r="D178" s="11"/>
      <c r="E178" s="18"/>
      <c r="F178" s="11" t="s">
        <v>856</v>
      </c>
      <c r="G178" s="27">
        <v>156.25</v>
      </c>
      <c r="H178" s="11" t="s">
        <v>857</v>
      </c>
      <c r="I178" s="11"/>
      <c r="J178" s="28"/>
      <c r="K178" s="27" t="s">
        <v>858</v>
      </c>
      <c r="L178" s="27">
        <v>1</v>
      </c>
      <c r="M178" s="28"/>
      <c r="N178" s="28">
        <v>4.22</v>
      </c>
      <c r="O178" s="28">
        <f>4620/7/156.25/2</f>
        <v>2.112</v>
      </c>
      <c r="P178" s="27">
        <f>4620/7*0.5</f>
        <v>330</v>
      </c>
      <c r="Q178" s="37"/>
      <c r="R178" s="38"/>
      <c r="S178" s="38"/>
      <c r="T178" s="38"/>
      <c r="U178" s="38"/>
    </row>
    <row r="179" ht="300" customHeight="1" spans="1:21">
      <c r="A179" s="11">
        <v>99</v>
      </c>
      <c r="B179" s="11" t="s">
        <v>95</v>
      </c>
      <c r="C179" s="11" t="s">
        <v>859</v>
      </c>
      <c r="D179" s="11" t="s">
        <v>860</v>
      </c>
      <c r="E179" s="13" t="s">
        <v>154</v>
      </c>
      <c r="F179" s="11" t="s">
        <v>861</v>
      </c>
      <c r="G179" s="27">
        <v>16</v>
      </c>
      <c r="H179" s="11" t="s">
        <v>424</v>
      </c>
      <c r="I179" s="11" t="s">
        <v>157</v>
      </c>
      <c r="J179" s="28">
        <v>0</v>
      </c>
      <c r="K179" s="11" t="s">
        <v>425</v>
      </c>
      <c r="L179" s="27">
        <v>11</v>
      </c>
      <c r="M179" s="28">
        <f>J179+L179</f>
        <v>11</v>
      </c>
      <c r="N179" s="28">
        <f>3000/16</f>
        <v>187.5</v>
      </c>
      <c r="O179" s="28">
        <v>60</v>
      </c>
      <c r="P179" s="27">
        <f t="shared" ref="P179:P190" si="24">G179*L179*60</f>
        <v>10560</v>
      </c>
      <c r="Q179" s="37">
        <v>10560</v>
      </c>
      <c r="R179" s="38" t="s">
        <v>862</v>
      </c>
      <c r="S179" s="38" t="s">
        <v>863</v>
      </c>
      <c r="T179" s="38" t="s">
        <v>862</v>
      </c>
      <c r="U179" s="38" t="str">
        <f t="shared" ref="U179:U184" si="25">"港澳处、律所、会所三方审核结论一致，符合给予租金补贴"&amp;Q179&amp;"元条件。"</f>
        <v>港澳处、律所、会所三方审核结论一致，符合给予租金补贴10560元条件。</v>
      </c>
    </row>
    <row r="180" ht="150" customHeight="1" spans="1:21">
      <c r="A180" s="11">
        <v>100</v>
      </c>
      <c r="B180" s="11" t="s">
        <v>96</v>
      </c>
      <c r="C180" s="11" t="s">
        <v>503</v>
      </c>
      <c r="D180" s="11" t="s">
        <v>864</v>
      </c>
      <c r="E180" s="17" t="s">
        <v>154</v>
      </c>
      <c r="F180" s="11" t="s">
        <v>865</v>
      </c>
      <c r="G180" s="27">
        <v>20</v>
      </c>
      <c r="H180" s="11" t="s">
        <v>866</v>
      </c>
      <c r="I180" s="11" t="s">
        <v>157</v>
      </c>
      <c r="J180" s="28">
        <v>0</v>
      </c>
      <c r="K180" s="27" t="s">
        <v>867</v>
      </c>
      <c r="L180" s="27">
        <v>4</v>
      </c>
      <c r="M180" s="28">
        <f>L180+L183+J180</f>
        <v>10.4838709677419</v>
      </c>
      <c r="N180" s="28">
        <f>(3120+5760)/4/20</f>
        <v>111</v>
      </c>
      <c r="O180" s="28">
        <f>N180*0.5</f>
        <v>55.5</v>
      </c>
      <c r="P180" s="27">
        <f>(3120+5760)*0.5</f>
        <v>4440</v>
      </c>
      <c r="Q180" s="37">
        <v>22730</v>
      </c>
      <c r="R180" s="38" t="s">
        <v>868</v>
      </c>
      <c r="S180" s="38" t="s">
        <v>869</v>
      </c>
      <c r="T180" s="38" t="s">
        <v>868</v>
      </c>
      <c r="U180" s="38" t="str">
        <f t="shared" si="25"/>
        <v>港澳处、律所、会所三方审核结论一致，符合给予租金补贴22730元条件。</v>
      </c>
    </row>
    <row r="181" ht="150" customHeight="1" spans="1:21">
      <c r="A181" s="11"/>
      <c r="B181" s="11"/>
      <c r="C181" s="11"/>
      <c r="D181" s="11"/>
      <c r="E181" s="20"/>
      <c r="F181" s="11" t="s">
        <v>865</v>
      </c>
      <c r="G181" s="27">
        <v>20</v>
      </c>
      <c r="H181" s="11" t="s">
        <v>866</v>
      </c>
      <c r="I181" s="11"/>
      <c r="J181" s="28"/>
      <c r="K181" s="27" t="s">
        <v>870</v>
      </c>
      <c r="L181" s="27">
        <v>2</v>
      </c>
      <c r="M181" s="28"/>
      <c r="N181" s="28">
        <f>150</f>
        <v>150</v>
      </c>
      <c r="O181" s="28">
        <v>60</v>
      </c>
      <c r="P181" s="27">
        <f>G180*2*60</f>
        <v>2400</v>
      </c>
      <c r="Q181" s="37"/>
      <c r="R181" s="38"/>
      <c r="S181" s="38"/>
      <c r="T181" s="38"/>
      <c r="U181" s="38"/>
    </row>
    <row r="182" ht="150" customHeight="1" spans="1:21">
      <c r="A182" s="11"/>
      <c r="B182" s="11"/>
      <c r="C182" s="11"/>
      <c r="D182" s="11"/>
      <c r="E182" s="20"/>
      <c r="F182" s="11" t="s">
        <v>865</v>
      </c>
      <c r="G182" s="27">
        <v>20</v>
      </c>
      <c r="H182" s="11" t="s">
        <v>866</v>
      </c>
      <c r="I182" s="11"/>
      <c r="J182" s="28"/>
      <c r="K182" s="27" t="s">
        <v>871</v>
      </c>
      <c r="L182" s="27">
        <v>10</v>
      </c>
      <c r="M182" s="28"/>
      <c r="N182" s="28">
        <f>150</f>
        <v>150</v>
      </c>
      <c r="O182" s="28">
        <v>60</v>
      </c>
      <c r="P182" s="27">
        <f>G181*10*60</f>
        <v>12000</v>
      </c>
      <c r="Q182" s="37"/>
      <c r="R182" s="38"/>
      <c r="S182" s="38"/>
      <c r="T182" s="38"/>
      <c r="U182" s="38"/>
    </row>
    <row r="183" ht="150" customHeight="1" spans="1:21">
      <c r="A183" s="11"/>
      <c r="B183" s="11"/>
      <c r="C183" s="11"/>
      <c r="D183" s="11"/>
      <c r="E183" s="18"/>
      <c r="F183" s="11" t="s">
        <v>872</v>
      </c>
      <c r="G183" s="27">
        <v>10</v>
      </c>
      <c r="H183" s="11" t="s">
        <v>257</v>
      </c>
      <c r="I183" s="11"/>
      <c r="J183" s="28"/>
      <c r="K183" s="11" t="s">
        <v>206</v>
      </c>
      <c r="L183" s="27">
        <f>(31-17+1)/31+6</f>
        <v>6.48387096774194</v>
      </c>
      <c r="M183" s="28"/>
      <c r="N183" s="28">
        <v>150</v>
      </c>
      <c r="O183" s="28">
        <v>60</v>
      </c>
      <c r="P183" s="27">
        <f t="shared" si="24"/>
        <v>3890.32258064516</v>
      </c>
      <c r="Q183" s="37"/>
      <c r="R183" s="38"/>
      <c r="S183" s="38"/>
      <c r="T183" s="38"/>
      <c r="U183" s="38"/>
    </row>
    <row r="184" ht="150" customHeight="1" spans="1:21">
      <c r="A184" s="11">
        <v>101</v>
      </c>
      <c r="B184" s="11" t="s">
        <v>97</v>
      </c>
      <c r="C184" s="11" t="s">
        <v>873</v>
      </c>
      <c r="D184" s="11" t="s">
        <v>874</v>
      </c>
      <c r="E184" s="17" t="s">
        <v>154</v>
      </c>
      <c r="F184" s="11" t="s">
        <v>875</v>
      </c>
      <c r="G184" s="26">
        <v>10</v>
      </c>
      <c r="H184" s="11" t="s">
        <v>876</v>
      </c>
      <c r="I184" s="26" t="s">
        <v>157</v>
      </c>
      <c r="J184" s="28">
        <v>0</v>
      </c>
      <c r="K184" s="11" t="s">
        <v>876</v>
      </c>
      <c r="L184" s="26">
        <v>2</v>
      </c>
      <c r="M184" s="28">
        <f>J184+L184+L185</f>
        <v>5</v>
      </c>
      <c r="N184" s="28">
        <v>130</v>
      </c>
      <c r="O184" s="28">
        <v>60</v>
      </c>
      <c r="P184" s="26">
        <f t="shared" si="24"/>
        <v>1200</v>
      </c>
      <c r="Q184" s="37">
        <v>6762</v>
      </c>
      <c r="R184" s="38" t="s">
        <v>877</v>
      </c>
      <c r="S184" s="38" t="s">
        <v>878</v>
      </c>
      <c r="T184" s="38" t="s">
        <v>877</v>
      </c>
      <c r="U184" s="38" t="str">
        <f t="shared" si="25"/>
        <v>港澳处、律所、会所三方审核结论一致，符合给予租金补贴6762元条件。</v>
      </c>
    </row>
    <row r="185" ht="150" customHeight="1" spans="1:21">
      <c r="A185" s="11"/>
      <c r="B185" s="11"/>
      <c r="C185" s="11"/>
      <c r="D185" s="11"/>
      <c r="E185" s="18"/>
      <c r="F185" s="11" t="s">
        <v>875</v>
      </c>
      <c r="G185" s="26">
        <v>30.9</v>
      </c>
      <c r="H185" s="11" t="s">
        <v>879</v>
      </c>
      <c r="I185" s="26"/>
      <c r="J185" s="28"/>
      <c r="K185" s="11" t="s">
        <v>273</v>
      </c>
      <c r="L185" s="26">
        <v>3</v>
      </c>
      <c r="M185" s="28"/>
      <c r="N185" s="28">
        <v>147.46</v>
      </c>
      <c r="O185" s="28">
        <v>60</v>
      </c>
      <c r="P185" s="26">
        <f t="shared" si="24"/>
        <v>5562</v>
      </c>
      <c r="Q185" s="37"/>
      <c r="R185" s="38"/>
      <c r="S185" s="38"/>
      <c r="T185" s="38"/>
      <c r="U185" s="38"/>
    </row>
    <row r="186" ht="300" customHeight="1" spans="1:21">
      <c r="A186" s="11">
        <v>102</v>
      </c>
      <c r="B186" s="11" t="s">
        <v>98</v>
      </c>
      <c r="C186" s="11" t="s">
        <v>880</v>
      </c>
      <c r="D186" s="11" t="s">
        <v>881</v>
      </c>
      <c r="E186" s="13" t="s">
        <v>154</v>
      </c>
      <c r="F186" s="11" t="s">
        <v>882</v>
      </c>
      <c r="G186" s="26">
        <v>10</v>
      </c>
      <c r="H186" s="11" t="s">
        <v>782</v>
      </c>
      <c r="I186" s="26" t="s">
        <v>157</v>
      </c>
      <c r="J186" s="28">
        <v>0</v>
      </c>
      <c r="K186" s="11" t="s">
        <v>314</v>
      </c>
      <c r="L186" s="26">
        <v>5</v>
      </c>
      <c r="M186" s="28">
        <f>L186+J186</f>
        <v>5</v>
      </c>
      <c r="N186" s="28">
        <v>130</v>
      </c>
      <c r="O186" s="28">
        <v>60</v>
      </c>
      <c r="P186" s="26">
        <f t="shared" si="24"/>
        <v>3000</v>
      </c>
      <c r="Q186" s="37">
        <v>3000</v>
      </c>
      <c r="R186" s="38" t="s">
        <v>883</v>
      </c>
      <c r="S186" s="38" t="s">
        <v>884</v>
      </c>
      <c r="T186" s="38" t="s">
        <v>883</v>
      </c>
      <c r="U186" s="38" t="str">
        <f t="shared" ref="U186:U190" si="26">"港澳处、律所、会所三方审核结论一致，符合给予租金补贴"&amp;Q186&amp;"元条件。"</f>
        <v>港澳处、律所、会所三方审核结论一致，符合给予租金补贴3000元条件。</v>
      </c>
    </row>
    <row r="187" ht="150" customHeight="1" spans="1:21">
      <c r="A187" s="11">
        <v>103</v>
      </c>
      <c r="B187" s="11" t="s">
        <v>99</v>
      </c>
      <c r="C187" s="11" t="s">
        <v>885</v>
      </c>
      <c r="D187" s="11" t="s">
        <v>886</v>
      </c>
      <c r="E187" s="17" t="s">
        <v>154</v>
      </c>
      <c r="F187" s="11" t="s">
        <v>887</v>
      </c>
      <c r="G187" s="26">
        <v>59</v>
      </c>
      <c r="H187" s="11" t="s">
        <v>888</v>
      </c>
      <c r="I187" s="26" t="s">
        <v>157</v>
      </c>
      <c r="J187" s="28">
        <v>0</v>
      </c>
      <c r="K187" s="11" t="s">
        <v>565</v>
      </c>
      <c r="L187" s="26">
        <f>22/31+8</f>
        <v>8.70967741935484</v>
      </c>
      <c r="M187" s="28">
        <f>L187</f>
        <v>8.70967741935484</v>
      </c>
      <c r="N187" s="28">
        <v>153.38</v>
      </c>
      <c r="O187" s="28">
        <v>60</v>
      </c>
      <c r="P187" s="26">
        <f t="shared" si="24"/>
        <v>30832.2580645161</v>
      </c>
      <c r="Q187" s="37">
        <v>300000</v>
      </c>
      <c r="R187" s="38" t="s">
        <v>476</v>
      </c>
      <c r="S187" s="38" t="s">
        <v>477</v>
      </c>
      <c r="T187" s="38" t="s">
        <v>476</v>
      </c>
      <c r="U187" s="38" t="str">
        <f t="shared" si="26"/>
        <v>港澳处、律所、会所三方审核结论一致，符合给予租金补贴300000元条件。</v>
      </c>
    </row>
    <row r="188" ht="150" customHeight="1" spans="1:21">
      <c r="A188" s="11"/>
      <c r="B188" s="11"/>
      <c r="C188" s="11"/>
      <c r="D188" s="11"/>
      <c r="E188" s="18"/>
      <c r="F188" s="11" t="s">
        <v>889</v>
      </c>
      <c r="G188" s="26">
        <v>757.6</v>
      </c>
      <c r="H188" s="11" t="s">
        <v>257</v>
      </c>
      <c r="I188" s="26"/>
      <c r="J188" s="28"/>
      <c r="K188" s="26" t="s">
        <v>206</v>
      </c>
      <c r="L188" s="26">
        <f>15/31+6</f>
        <v>6.48387096774194</v>
      </c>
      <c r="M188" s="28"/>
      <c r="N188" s="28">
        <v>158.38</v>
      </c>
      <c r="O188" s="28">
        <v>60</v>
      </c>
      <c r="P188" s="26">
        <f t="shared" si="24"/>
        <v>294730.838709677</v>
      </c>
      <c r="Q188" s="37"/>
      <c r="R188" s="38"/>
      <c r="S188" s="38"/>
      <c r="T188" s="38"/>
      <c r="U188" s="38"/>
    </row>
    <row r="189" ht="300" customHeight="1" spans="1:21">
      <c r="A189" s="11">
        <v>104</v>
      </c>
      <c r="B189" s="11" t="s">
        <v>100</v>
      </c>
      <c r="C189" s="11" t="s">
        <v>890</v>
      </c>
      <c r="D189" s="11" t="s">
        <v>891</v>
      </c>
      <c r="E189" s="13" t="s">
        <v>154</v>
      </c>
      <c r="F189" s="11" t="s">
        <v>892</v>
      </c>
      <c r="G189" s="26">
        <v>10</v>
      </c>
      <c r="H189" s="11" t="s">
        <v>613</v>
      </c>
      <c r="I189" s="26" t="s">
        <v>157</v>
      </c>
      <c r="J189" s="28">
        <v>0</v>
      </c>
      <c r="K189" s="26" t="s">
        <v>602</v>
      </c>
      <c r="L189" s="26">
        <v>6</v>
      </c>
      <c r="M189" s="28">
        <f>L189</f>
        <v>6</v>
      </c>
      <c r="N189" s="28">
        <v>150</v>
      </c>
      <c r="O189" s="28">
        <v>60</v>
      </c>
      <c r="P189" s="26">
        <f t="shared" si="24"/>
        <v>3600</v>
      </c>
      <c r="Q189" s="37">
        <v>3600</v>
      </c>
      <c r="R189" s="38" t="s">
        <v>759</v>
      </c>
      <c r="S189" s="38" t="s">
        <v>760</v>
      </c>
      <c r="T189" s="38" t="s">
        <v>759</v>
      </c>
      <c r="U189" s="38" t="str">
        <f t="shared" si="26"/>
        <v>港澳处、律所、会所三方审核结论一致，符合给予租金补贴3600元条件。</v>
      </c>
    </row>
    <row r="190" ht="150" customHeight="1" spans="1:21">
      <c r="A190" s="11">
        <v>105</v>
      </c>
      <c r="B190" s="11" t="s">
        <v>101</v>
      </c>
      <c r="C190" s="40" t="s">
        <v>820</v>
      </c>
      <c r="D190" s="11" t="s">
        <v>893</v>
      </c>
      <c r="E190" s="17" t="s">
        <v>154</v>
      </c>
      <c r="F190" s="11" t="s">
        <v>894</v>
      </c>
      <c r="G190" s="26">
        <v>10</v>
      </c>
      <c r="H190" s="11" t="s">
        <v>834</v>
      </c>
      <c r="I190" s="27" t="s">
        <v>220</v>
      </c>
      <c r="J190" s="28">
        <f>8+12/31</f>
        <v>8.38709677419355</v>
      </c>
      <c r="K190" s="26" t="s">
        <v>835</v>
      </c>
      <c r="L190" s="26">
        <v>8</v>
      </c>
      <c r="M190" s="28">
        <f>L192+L190+J190+L191</f>
        <v>20</v>
      </c>
      <c r="N190" s="28">
        <v>150</v>
      </c>
      <c r="O190" s="28">
        <v>60</v>
      </c>
      <c r="P190" s="26">
        <f t="shared" si="24"/>
        <v>4800</v>
      </c>
      <c r="Q190" s="37">
        <v>28049</v>
      </c>
      <c r="R190" s="38" t="s">
        <v>895</v>
      </c>
      <c r="S190" s="38" t="s">
        <v>896</v>
      </c>
      <c r="T190" s="38" t="s">
        <v>895</v>
      </c>
      <c r="U190" s="38" t="str">
        <f t="shared" si="26"/>
        <v>港澳处、律所、会所三方审核结论一致，符合给予租金补贴28049元条件。</v>
      </c>
    </row>
    <row r="191" ht="150" customHeight="1" spans="1:21">
      <c r="A191" s="11"/>
      <c r="B191" s="11"/>
      <c r="C191" s="41"/>
      <c r="D191" s="11"/>
      <c r="E191" s="20"/>
      <c r="F191" s="11" t="s">
        <v>894</v>
      </c>
      <c r="G191" s="26">
        <v>108</v>
      </c>
      <c r="H191" s="11" t="s">
        <v>897</v>
      </c>
      <c r="I191" s="27"/>
      <c r="J191" s="28"/>
      <c r="K191" s="26" t="s">
        <v>898</v>
      </c>
      <c r="L191" s="26">
        <v>2</v>
      </c>
      <c r="M191" s="28"/>
      <c r="N191" s="28">
        <f>(86976.7+2609.3)/7/G191</f>
        <v>118.5</v>
      </c>
      <c r="O191" s="28">
        <f t="shared" ref="O191:O194" si="27">N191*0.5</f>
        <v>59.25</v>
      </c>
      <c r="P191" s="26">
        <f>(86976.7+2609.3)/7*2*0.5</f>
        <v>12798</v>
      </c>
      <c r="Q191" s="37"/>
      <c r="R191" s="38"/>
      <c r="S191" s="38"/>
      <c r="T191" s="38"/>
      <c r="U191" s="38"/>
    </row>
    <row r="192" ht="150" customHeight="1" spans="1:21">
      <c r="A192" s="11"/>
      <c r="B192" s="11"/>
      <c r="C192" s="42"/>
      <c r="D192" s="11"/>
      <c r="E192" s="18"/>
      <c r="F192" s="11" t="s">
        <v>894</v>
      </c>
      <c r="G192" s="26">
        <v>108</v>
      </c>
      <c r="H192" s="11" t="s">
        <v>897</v>
      </c>
      <c r="I192" s="27"/>
      <c r="J192" s="28"/>
      <c r="K192" s="26" t="s">
        <v>899</v>
      </c>
      <c r="L192" s="26">
        <f>19/31+1</f>
        <v>1.61290322580645</v>
      </c>
      <c r="M192" s="28"/>
      <c r="N192" s="28">
        <v>143.38</v>
      </c>
      <c r="O192" s="28">
        <v>60</v>
      </c>
      <c r="P192" s="26">
        <f>G192*(19/31+1)*60</f>
        <v>10451.6129032258</v>
      </c>
      <c r="Q192" s="37"/>
      <c r="R192" s="38"/>
      <c r="S192" s="38"/>
      <c r="T192" s="38"/>
      <c r="U192" s="38"/>
    </row>
    <row r="193" ht="150" customHeight="1" spans="1:21">
      <c r="A193" s="11">
        <v>106</v>
      </c>
      <c r="B193" s="11" t="s">
        <v>102</v>
      </c>
      <c r="C193" s="11" t="s">
        <v>900</v>
      </c>
      <c r="D193" s="11" t="s">
        <v>901</v>
      </c>
      <c r="E193" s="17" t="s">
        <v>154</v>
      </c>
      <c r="F193" s="11" t="s">
        <v>902</v>
      </c>
      <c r="G193" s="26">
        <v>95.62</v>
      </c>
      <c r="H193" s="11" t="s">
        <v>903</v>
      </c>
      <c r="I193" s="27" t="s">
        <v>220</v>
      </c>
      <c r="J193" s="28">
        <v>12</v>
      </c>
      <c r="K193" s="26" t="s">
        <v>904</v>
      </c>
      <c r="L193" s="26">
        <v>1</v>
      </c>
      <c r="M193" s="28">
        <f>L193+L194+J193</f>
        <v>24</v>
      </c>
      <c r="N193" s="28">
        <f>(4349.15+217.46+4009.96+200.5)/G193/L193</f>
        <v>91.791152478561</v>
      </c>
      <c r="O193" s="28">
        <f t="shared" si="27"/>
        <v>45.8955762392805</v>
      </c>
      <c r="P193" s="26">
        <f>(4349.15+217.46+4009.96+200.5)*0.5</f>
        <v>4388.535</v>
      </c>
      <c r="Q193" s="37">
        <v>27546</v>
      </c>
      <c r="R193" s="38" t="s">
        <v>905</v>
      </c>
      <c r="S193" s="38" t="s">
        <v>906</v>
      </c>
      <c r="T193" s="38" t="s">
        <v>905</v>
      </c>
      <c r="U193" s="38" t="str">
        <f t="shared" ref="U193:U198" si="28">"港澳处、律所、会所三方审核结论一致，符合给予租金补贴"&amp;Q193&amp;"元条件。"</f>
        <v>港澳处、律所、会所三方审核结论一致，符合给予租金补贴27546元条件。</v>
      </c>
    </row>
    <row r="194" ht="150" customHeight="1" spans="1:21">
      <c r="A194" s="11"/>
      <c r="B194" s="11"/>
      <c r="C194" s="11"/>
      <c r="D194" s="11"/>
      <c r="E194" s="18"/>
      <c r="F194" s="11" t="s">
        <v>907</v>
      </c>
      <c r="G194" s="26">
        <v>45.87</v>
      </c>
      <c r="H194" s="11" t="s">
        <v>908</v>
      </c>
      <c r="I194" s="27"/>
      <c r="J194" s="28"/>
      <c r="K194" s="26" t="s">
        <v>425</v>
      </c>
      <c r="L194" s="26">
        <v>11</v>
      </c>
      <c r="M194" s="28"/>
      <c r="N194" s="28">
        <f>4210.45/G194</f>
        <v>91.7909308916503</v>
      </c>
      <c r="O194" s="28">
        <f t="shared" si="27"/>
        <v>45.8954654458252</v>
      </c>
      <c r="P194" s="26">
        <f>4210.45*11*0.5</f>
        <v>23157.475</v>
      </c>
      <c r="Q194" s="37"/>
      <c r="R194" s="38"/>
      <c r="S194" s="38"/>
      <c r="T194" s="38"/>
      <c r="U194" s="38"/>
    </row>
    <row r="195" ht="150" customHeight="1" spans="1:21">
      <c r="A195" s="11">
        <v>107</v>
      </c>
      <c r="B195" s="11" t="s">
        <v>103</v>
      </c>
      <c r="C195" s="11" t="s">
        <v>909</v>
      </c>
      <c r="D195" s="11" t="s">
        <v>910</v>
      </c>
      <c r="E195" s="17" t="s">
        <v>154</v>
      </c>
      <c r="F195" s="11" t="s">
        <v>911</v>
      </c>
      <c r="G195" s="26">
        <v>30</v>
      </c>
      <c r="H195" s="11" t="s">
        <v>912</v>
      </c>
      <c r="I195" s="26" t="s">
        <v>157</v>
      </c>
      <c r="J195" s="28">
        <v>0</v>
      </c>
      <c r="K195" s="11" t="s">
        <v>912</v>
      </c>
      <c r="L195" s="26">
        <f>4+(31-8+1)/31+1/31</f>
        <v>4.80645161290323</v>
      </c>
      <c r="M195" s="28">
        <f>L195+L196</f>
        <v>10.7741935483871</v>
      </c>
      <c r="N195" s="28">
        <v>150</v>
      </c>
      <c r="O195" s="28">
        <v>60</v>
      </c>
      <c r="P195" s="26">
        <f t="shared" ref="P195:P197" si="29">G195*L195*60</f>
        <v>8651.61290322581</v>
      </c>
      <c r="Q195" s="37">
        <v>25122</v>
      </c>
      <c r="R195" s="38" t="s">
        <v>913</v>
      </c>
      <c r="S195" s="38" t="s">
        <v>914</v>
      </c>
      <c r="T195" s="38" t="s">
        <v>913</v>
      </c>
      <c r="U195" s="38" t="str">
        <f t="shared" si="28"/>
        <v>港澳处、律所、会所三方审核结论一致，符合给予租金补贴25122元条件。</v>
      </c>
    </row>
    <row r="196" ht="150" customHeight="1" spans="1:21">
      <c r="A196" s="11"/>
      <c r="B196" s="11"/>
      <c r="C196" s="11"/>
      <c r="D196" s="11"/>
      <c r="E196" s="18"/>
      <c r="F196" s="11" t="s">
        <v>911</v>
      </c>
      <c r="G196" s="26">
        <v>46</v>
      </c>
      <c r="H196" s="11" t="s">
        <v>915</v>
      </c>
      <c r="I196" s="26"/>
      <c r="J196" s="28">
        <v>0</v>
      </c>
      <c r="K196" s="11" t="s">
        <v>916</v>
      </c>
      <c r="L196" s="26">
        <f>30/31+5</f>
        <v>5.96774193548387</v>
      </c>
      <c r="M196" s="28"/>
      <c r="N196" s="28">
        <v>152.17</v>
      </c>
      <c r="O196" s="28">
        <v>60</v>
      </c>
      <c r="P196" s="26">
        <f t="shared" si="29"/>
        <v>16470.9677419355</v>
      </c>
      <c r="Q196" s="37"/>
      <c r="R196" s="38"/>
      <c r="S196" s="38"/>
      <c r="T196" s="38"/>
      <c r="U196" s="38"/>
    </row>
    <row r="197" ht="300" customHeight="1" spans="1:21">
      <c r="A197" s="11">
        <v>108</v>
      </c>
      <c r="B197" s="11" t="s">
        <v>104</v>
      </c>
      <c r="C197" s="11" t="s">
        <v>917</v>
      </c>
      <c r="D197" s="11" t="s">
        <v>918</v>
      </c>
      <c r="E197" s="13" t="s">
        <v>154</v>
      </c>
      <c r="F197" s="11" t="s">
        <v>919</v>
      </c>
      <c r="G197" s="26">
        <v>10</v>
      </c>
      <c r="H197" s="11" t="s">
        <v>834</v>
      </c>
      <c r="I197" s="26" t="s">
        <v>157</v>
      </c>
      <c r="J197" s="28">
        <v>0</v>
      </c>
      <c r="K197" s="26" t="s">
        <v>835</v>
      </c>
      <c r="L197" s="26">
        <v>8</v>
      </c>
      <c r="M197" s="28">
        <f t="shared" ref="M197:M203" si="30">L197+J197</f>
        <v>8</v>
      </c>
      <c r="N197" s="28">
        <v>130</v>
      </c>
      <c r="O197" s="28">
        <v>60</v>
      </c>
      <c r="P197" s="26">
        <f t="shared" si="29"/>
        <v>4800</v>
      </c>
      <c r="Q197" s="37">
        <v>4800</v>
      </c>
      <c r="R197" s="38" t="s">
        <v>412</v>
      </c>
      <c r="S197" s="38" t="s">
        <v>413</v>
      </c>
      <c r="T197" s="38" t="s">
        <v>412</v>
      </c>
      <c r="U197" s="38" t="str">
        <f t="shared" si="28"/>
        <v>港澳处、律所、会所三方审核结论一致，符合给予租金补贴4800元条件。</v>
      </c>
    </row>
    <row r="198" s="3" customFormat="1" ht="230" customHeight="1" spans="1:21">
      <c r="A198" s="40">
        <v>109</v>
      </c>
      <c r="B198" s="40" t="s">
        <v>1164</v>
      </c>
      <c r="C198" s="40" t="s">
        <v>1165</v>
      </c>
      <c r="D198" s="40" t="s">
        <v>1166</v>
      </c>
      <c r="E198" s="40" t="s">
        <v>154</v>
      </c>
      <c r="F198" s="40" t="s">
        <v>1167</v>
      </c>
      <c r="G198" s="47">
        <v>106.02</v>
      </c>
      <c r="H198" s="11" t="s">
        <v>1107</v>
      </c>
      <c r="I198" s="47" t="s">
        <v>157</v>
      </c>
      <c r="J198" s="29">
        <v>0</v>
      </c>
      <c r="K198" s="26" t="s">
        <v>1168</v>
      </c>
      <c r="L198" s="26">
        <f>21/30</f>
        <v>0.7</v>
      </c>
      <c r="M198" s="29">
        <f>L198+L199</f>
        <v>9.7</v>
      </c>
      <c r="N198" s="28">
        <f>6785.28/L198/106.02</f>
        <v>91.4285714285714</v>
      </c>
      <c r="O198" s="28">
        <f>N198*0.5</f>
        <v>45.7142857142857</v>
      </c>
      <c r="P198" s="26">
        <f>6785.28/2</f>
        <v>3392.64</v>
      </c>
      <c r="Q198" s="50">
        <v>60643</v>
      </c>
      <c r="R198" s="51" t="s">
        <v>1169</v>
      </c>
      <c r="S198" s="51" t="s">
        <v>1170</v>
      </c>
      <c r="T198" s="51" t="s">
        <v>1169</v>
      </c>
      <c r="U198" s="40" t="str">
        <f t="shared" si="28"/>
        <v>港澳处、律所、会所三方审核结论一致，符合给予租金补贴60643元条件。</v>
      </c>
    </row>
    <row r="199" s="4" customFormat="1" ht="97" customHeight="1" spans="1:21">
      <c r="A199" s="42"/>
      <c r="B199" s="42"/>
      <c r="C199" s="42"/>
      <c r="D199" s="42"/>
      <c r="E199" s="42"/>
      <c r="F199" s="42"/>
      <c r="G199" s="48"/>
      <c r="H199" s="11" t="s">
        <v>1107</v>
      </c>
      <c r="I199" s="48"/>
      <c r="J199" s="30"/>
      <c r="K199" s="26" t="s">
        <v>716</v>
      </c>
      <c r="L199" s="26">
        <v>9</v>
      </c>
      <c r="M199" s="30"/>
      <c r="N199" s="28">
        <f>12722.4/G198</f>
        <v>120</v>
      </c>
      <c r="O199" s="28">
        <v>60</v>
      </c>
      <c r="P199" s="26">
        <f>G198*60*L199</f>
        <v>57250.8</v>
      </c>
      <c r="Q199" s="52"/>
      <c r="R199" s="53"/>
      <c r="S199" s="53"/>
      <c r="T199" s="53"/>
      <c r="U199" s="42"/>
    </row>
    <row r="200" ht="300" customHeight="1" spans="1:21">
      <c r="A200" s="11">
        <v>110</v>
      </c>
      <c r="B200" s="11" t="s">
        <v>105</v>
      </c>
      <c r="C200" s="11" t="s">
        <v>920</v>
      </c>
      <c r="D200" s="11" t="s">
        <v>921</v>
      </c>
      <c r="E200" s="13" t="s">
        <v>154</v>
      </c>
      <c r="F200" s="11" t="s">
        <v>922</v>
      </c>
      <c r="G200" s="26">
        <v>76.19</v>
      </c>
      <c r="H200" s="11" t="s">
        <v>923</v>
      </c>
      <c r="I200" s="27" t="s">
        <v>220</v>
      </c>
      <c r="J200" s="28">
        <v>10</v>
      </c>
      <c r="K200" s="26" t="s">
        <v>924</v>
      </c>
      <c r="L200" s="26">
        <v>2</v>
      </c>
      <c r="M200" s="28">
        <f>J200+L200</f>
        <v>12</v>
      </c>
      <c r="N200" s="28">
        <f>6789.56/G200</f>
        <v>89.1135319595748</v>
      </c>
      <c r="O200" s="28">
        <f t="shared" ref="O200:O205" si="31">N200*0.5</f>
        <v>44.5567659797874</v>
      </c>
      <c r="P200" s="26">
        <f>6789.56*2*0.5</f>
        <v>6789.56</v>
      </c>
      <c r="Q200" s="37">
        <v>6789</v>
      </c>
      <c r="R200" s="38" t="s">
        <v>925</v>
      </c>
      <c r="S200" s="38" t="s">
        <v>926</v>
      </c>
      <c r="T200" s="38" t="s">
        <v>925</v>
      </c>
      <c r="U200" s="38" t="str">
        <f t="shared" ref="U200:U204" si="32">"港澳处、律所、会所三方审核结论一致，符合给予租金补贴"&amp;Q200&amp;"元条件。"</f>
        <v>港澳处、律所、会所三方审核结论一致，符合给予租金补贴6789元条件。</v>
      </c>
    </row>
    <row r="201" ht="300" customHeight="1" spans="1:21">
      <c r="A201" s="11">
        <v>111</v>
      </c>
      <c r="B201" s="11" t="s">
        <v>106</v>
      </c>
      <c r="C201" s="11" t="s">
        <v>927</v>
      </c>
      <c r="D201" s="11" t="s">
        <v>928</v>
      </c>
      <c r="E201" s="13" t="s">
        <v>154</v>
      </c>
      <c r="F201" s="11" t="s">
        <v>929</v>
      </c>
      <c r="G201" s="26">
        <v>530</v>
      </c>
      <c r="H201" s="11" t="s">
        <v>306</v>
      </c>
      <c r="I201" s="27" t="s">
        <v>157</v>
      </c>
      <c r="J201" s="28">
        <v>0</v>
      </c>
      <c r="K201" s="26" t="s">
        <v>930</v>
      </c>
      <c r="L201" s="26">
        <f>4+(29-18+1)/29</f>
        <v>4.41379310344828</v>
      </c>
      <c r="M201" s="28">
        <f t="shared" si="30"/>
        <v>4.41379310344828</v>
      </c>
      <c r="N201" s="28">
        <v>160</v>
      </c>
      <c r="O201" s="28">
        <v>60</v>
      </c>
      <c r="P201" s="26">
        <f t="shared" ref="P201:P203" si="33">G201*L201*60</f>
        <v>140358.620689655</v>
      </c>
      <c r="Q201" s="37">
        <v>140358</v>
      </c>
      <c r="R201" s="38" t="s">
        <v>931</v>
      </c>
      <c r="S201" s="38" t="s">
        <v>932</v>
      </c>
      <c r="T201" s="38" t="s">
        <v>931</v>
      </c>
      <c r="U201" s="38" t="str">
        <f t="shared" si="32"/>
        <v>港澳处、律所、会所三方审核结论一致，符合给予租金补贴140358元条件。</v>
      </c>
    </row>
    <row r="202" ht="300" customHeight="1" spans="1:21">
      <c r="A202" s="11">
        <v>112</v>
      </c>
      <c r="B202" s="11" t="s">
        <v>107</v>
      </c>
      <c r="C202" s="11" t="s">
        <v>933</v>
      </c>
      <c r="D202" s="11" t="s">
        <v>934</v>
      </c>
      <c r="E202" s="13" t="s">
        <v>154</v>
      </c>
      <c r="F202" s="11" t="s">
        <v>935</v>
      </c>
      <c r="G202" s="26">
        <v>299</v>
      </c>
      <c r="H202" s="11" t="s">
        <v>936</v>
      </c>
      <c r="I202" s="27" t="s">
        <v>157</v>
      </c>
      <c r="J202" s="28">
        <v>0</v>
      </c>
      <c r="K202" s="26" t="s">
        <v>499</v>
      </c>
      <c r="L202" s="26">
        <v>7</v>
      </c>
      <c r="M202" s="28">
        <f t="shared" si="30"/>
        <v>7</v>
      </c>
      <c r="N202" s="28">
        <v>120</v>
      </c>
      <c r="O202" s="28">
        <v>60</v>
      </c>
      <c r="P202" s="26">
        <f t="shared" si="33"/>
        <v>125580</v>
      </c>
      <c r="Q202" s="37">
        <v>125580</v>
      </c>
      <c r="R202" s="38" t="s">
        <v>937</v>
      </c>
      <c r="S202" s="38" t="s">
        <v>938</v>
      </c>
      <c r="T202" s="38" t="s">
        <v>937</v>
      </c>
      <c r="U202" s="38" t="str">
        <f t="shared" si="32"/>
        <v>港澳处、律所、会所三方审核结论一致，符合给予租金补贴125580元条件。</v>
      </c>
    </row>
    <row r="203" ht="300" customHeight="1" spans="1:21">
      <c r="A203" s="11">
        <v>113</v>
      </c>
      <c r="B203" s="11" t="s">
        <v>108</v>
      </c>
      <c r="C203" s="11" t="s">
        <v>939</v>
      </c>
      <c r="D203" s="11" t="s">
        <v>940</v>
      </c>
      <c r="E203" s="13" t="s">
        <v>154</v>
      </c>
      <c r="F203" s="11" t="s">
        <v>939</v>
      </c>
      <c r="G203" s="26">
        <v>713</v>
      </c>
      <c r="H203" s="11" t="s">
        <v>936</v>
      </c>
      <c r="I203" s="27" t="s">
        <v>157</v>
      </c>
      <c r="J203" s="28">
        <v>0</v>
      </c>
      <c r="K203" s="26" t="s">
        <v>499</v>
      </c>
      <c r="L203" s="26">
        <v>7</v>
      </c>
      <c r="M203" s="28">
        <f t="shared" si="30"/>
        <v>7</v>
      </c>
      <c r="N203" s="28">
        <v>120</v>
      </c>
      <c r="O203" s="28">
        <v>60</v>
      </c>
      <c r="P203" s="26">
        <f t="shared" si="33"/>
        <v>299460</v>
      </c>
      <c r="Q203" s="37">
        <v>299460</v>
      </c>
      <c r="R203" s="38" t="s">
        <v>941</v>
      </c>
      <c r="S203" s="38" t="s">
        <v>942</v>
      </c>
      <c r="T203" s="38" t="s">
        <v>941</v>
      </c>
      <c r="U203" s="38" t="str">
        <f t="shared" si="32"/>
        <v>港澳处、律所、会所三方审核结论一致，符合给予租金补贴299460元条件。</v>
      </c>
    </row>
    <row r="204" ht="150" customHeight="1" spans="1:21">
      <c r="A204" s="11">
        <v>114</v>
      </c>
      <c r="B204" s="11" t="s">
        <v>109</v>
      </c>
      <c r="C204" s="11" t="s">
        <v>943</v>
      </c>
      <c r="D204" s="11" t="s">
        <v>944</v>
      </c>
      <c r="E204" s="17" t="s">
        <v>154</v>
      </c>
      <c r="F204" s="11" t="s">
        <v>945</v>
      </c>
      <c r="G204" s="26">
        <v>1224.08</v>
      </c>
      <c r="H204" s="11" t="s">
        <v>946</v>
      </c>
      <c r="I204" s="27" t="s">
        <v>220</v>
      </c>
      <c r="J204" s="28">
        <f>(28-21+1)/28+4</f>
        <v>4.28571428571429</v>
      </c>
      <c r="K204" s="26" t="s">
        <v>265</v>
      </c>
      <c r="L204" s="26">
        <v>4</v>
      </c>
      <c r="M204" s="28">
        <f>J204+L204+L205</f>
        <v>9.28571428571428</v>
      </c>
      <c r="N204" s="28">
        <v>107.12</v>
      </c>
      <c r="O204" s="28">
        <f t="shared" si="31"/>
        <v>53.56</v>
      </c>
      <c r="P204" s="26">
        <f>G204*107.12*0.5*L204</f>
        <v>262246.8992</v>
      </c>
      <c r="Q204" s="37">
        <v>300000</v>
      </c>
      <c r="R204" s="38" t="s">
        <v>476</v>
      </c>
      <c r="S204" s="38" t="s">
        <v>477</v>
      </c>
      <c r="T204" s="38" t="s">
        <v>476</v>
      </c>
      <c r="U204" s="38" t="str">
        <f t="shared" si="32"/>
        <v>港澳处、律所、会所三方审核结论一致，符合给予租金补贴300000元条件。</v>
      </c>
    </row>
    <row r="205" ht="150" customHeight="1" spans="1:21">
      <c r="A205" s="11"/>
      <c r="B205" s="11"/>
      <c r="C205" s="11"/>
      <c r="D205" s="11"/>
      <c r="E205" s="18"/>
      <c r="F205" s="11"/>
      <c r="G205" s="26">
        <v>1017</v>
      </c>
      <c r="H205" s="11" t="s">
        <v>947</v>
      </c>
      <c r="I205" s="27"/>
      <c r="J205" s="28"/>
      <c r="K205" s="11" t="s">
        <v>947</v>
      </c>
      <c r="L205" s="26">
        <v>1</v>
      </c>
      <c r="M205" s="28"/>
      <c r="N205" s="28">
        <v>107.12</v>
      </c>
      <c r="O205" s="28">
        <f t="shared" si="31"/>
        <v>53.56</v>
      </c>
      <c r="P205" s="26">
        <f>G205*L205*107.12*0.5</f>
        <v>54470.52</v>
      </c>
      <c r="Q205" s="37"/>
      <c r="R205" s="38"/>
      <c r="S205" s="38"/>
      <c r="T205" s="38"/>
      <c r="U205" s="38"/>
    </row>
    <row r="206" ht="150" customHeight="1" spans="1:21">
      <c r="A206" s="11">
        <v>115</v>
      </c>
      <c r="B206" s="11" t="s">
        <v>110</v>
      </c>
      <c r="C206" s="11" t="s">
        <v>948</v>
      </c>
      <c r="D206" s="11" t="s">
        <v>949</v>
      </c>
      <c r="E206" s="17" t="s">
        <v>154</v>
      </c>
      <c r="F206" s="11" t="s">
        <v>950</v>
      </c>
      <c r="G206" s="26">
        <v>146.62</v>
      </c>
      <c r="H206" s="11" t="s">
        <v>951</v>
      </c>
      <c r="I206" s="27" t="s">
        <v>157</v>
      </c>
      <c r="J206" s="28">
        <v>0</v>
      </c>
      <c r="K206" s="26" t="s">
        <v>320</v>
      </c>
      <c r="L206" s="26">
        <v>4</v>
      </c>
      <c r="M206" s="28">
        <f>L207</f>
        <v>5</v>
      </c>
      <c r="N206" s="28">
        <v>80</v>
      </c>
      <c r="O206" s="28">
        <v>40</v>
      </c>
      <c r="P206" s="26">
        <f>G206*L206*O206</f>
        <v>23459.2</v>
      </c>
      <c r="Q206" s="37">
        <v>134943</v>
      </c>
      <c r="R206" s="38" t="s">
        <v>952</v>
      </c>
      <c r="S206" s="38" t="s">
        <v>953</v>
      </c>
      <c r="T206" s="38" t="s">
        <v>952</v>
      </c>
      <c r="U206" s="38" t="str">
        <f t="shared" ref="U206:U209" si="34">"港澳处、律所、会所三方审核结论一致，符合给予租金补贴"&amp;Q206&amp;"元条件。"</f>
        <v>港澳处、律所、会所三方审核结论一致，符合给予租金补贴134943元条件。</v>
      </c>
    </row>
    <row r="207" ht="150" customHeight="1" spans="1:21">
      <c r="A207" s="11"/>
      <c r="B207" s="11"/>
      <c r="C207" s="11"/>
      <c r="D207" s="11"/>
      <c r="E207" s="18"/>
      <c r="F207" s="11" t="s">
        <v>954</v>
      </c>
      <c r="G207" s="26">
        <v>557.42</v>
      </c>
      <c r="H207" s="11" t="s">
        <v>466</v>
      </c>
      <c r="I207" s="27"/>
      <c r="J207" s="28"/>
      <c r="K207" s="26" t="s">
        <v>314</v>
      </c>
      <c r="L207" s="26">
        <v>5</v>
      </c>
      <c r="M207" s="28"/>
      <c r="N207" s="28">
        <v>80</v>
      </c>
      <c r="O207" s="28">
        <f t="shared" ref="O207:O214" si="35">N207*0.5</f>
        <v>40</v>
      </c>
      <c r="P207" s="26">
        <f>G207*L207*O207</f>
        <v>111484</v>
      </c>
      <c r="Q207" s="37"/>
      <c r="R207" s="38"/>
      <c r="S207" s="38"/>
      <c r="T207" s="38"/>
      <c r="U207" s="38"/>
    </row>
    <row r="208" ht="300" customHeight="1" spans="1:21">
      <c r="A208" s="11">
        <v>116</v>
      </c>
      <c r="B208" s="11" t="s">
        <v>111</v>
      </c>
      <c r="C208" s="11" t="s">
        <v>955</v>
      </c>
      <c r="D208" s="11" t="s">
        <v>956</v>
      </c>
      <c r="E208" s="13" t="s">
        <v>154</v>
      </c>
      <c r="F208" s="11" t="s">
        <v>957</v>
      </c>
      <c r="G208" s="26">
        <v>7</v>
      </c>
      <c r="H208" s="11" t="s">
        <v>958</v>
      </c>
      <c r="I208" s="27" t="s">
        <v>157</v>
      </c>
      <c r="J208" s="28">
        <v>0</v>
      </c>
      <c r="K208" s="26" t="s">
        <v>959</v>
      </c>
      <c r="L208" s="26">
        <f>1+(31-27+1)/31</f>
        <v>1.16129032258065</v>
      </c>
      <c r="M208" s="28">
        <f>L208+J208</f>
        <v>1.16129032258065</v>
      </c>
      <c r="N208" s="28">
        <v>147.46</v>
      </c>
      <c r="O208" s="28">
        <v>60</v>
      </c>
      <c r="P208" s="26">
        <f>G208*L208*60</f>
        <v>487.741935483871</v>
      </c>
      <c r="Q208" s="37">
        <v>487</v>
      </c>
      <c r="R208" s="38" t="s">
        <v>960</v>
      </c>
      <c r="S208" s="38" t="s">
        <v>961</v>
      </c>
      <c r="T208" s="38" t="s">
        <v>960</v>
      </c>
      <c r="U208" s="38" t="str">
        <f t="shared" si="34"/>
        <v>港澳处、律所、会所三方审核结论一致，符合给予租金补贴487元条件。</v>
      </c>
    </row>
    <row r="209" ht="150" customHeight="1" spans="1:21">
      <c r="A209" s="11">
        <v>117</v>
      </c>
      <c r="B209" s="11" t="s">
        <v>112</v>
      </c>
      <c r="C209" s="11" t="s">
        <v>962</v>
      </c>
      <c r="D209" s="11" t="s">
        <v>963</v>
      </c>
      <c r="E209" s="17" t="s">
        <v>154</v>
      </c>
      <c r="F209" s="11" t="s">
        <v>964</v>
      </c>
      <c r="G209" s="26">
        <v>1000</v>
      </c>
      <c r="H209" s="11" t="s">
        <v>481</v>
      </c>
      <c r="I209" s="27" t="s">
        <v>157</v>
      </c>
      <c r="J209" s="28">
        <v>0</v>
      </c>
      <c r="K209" s="26" t="s">
        <v>314</v>
      </c>
      <c r="L209" s="26">
        <v>5</v>
      </c>
      <c r="M209" s="28">
        <f>L209+J209</f>
        <v>5</v>
      </c>
      <c r="N209" s="28">
        <v>147.47</v>
      </c>
      <c r="O209" s="28">
        <v>60</v>
      </c>
      <c r="P209" s="47">
        <f>G209*L209*60</f>
        <v>300000</v>
      </c>
      <c r="Q209" s="37">
        <v>300000</v>
      </c>
      <c r="R209" s="38" t="s">
        <v>476</v>
      </c>
      <c r="S209" s="38" t="s">
        <v>477</v>
      </c>
      <c r="T209" s="38" t="s">
        <v>476</v>
      </c>
      <c r="U209" s="38" t="str">
        <f t="shared" si="34"/>
        <v>港澳处、律所、会所三方审核结论一致，符合给予租金补贴300000元条件。</v>
      </c>
    </row>
    <row r="210" ht="150" customHeight="1" spans="1:21">
      <c r="A210" s="11"/>
      <c r="B210" s="11"/>
      <c r="C210" s="11"/>
      <c r="D210" s="11"/>
      <c r="E210" s="18"/>
      <c r="F210" s="11" t="s">
        <v>968</v>
      </c>
      <c r="G210" s="26">
        <v>806.89</v>
      </c>
      <c r="H210" s="11" t="s">
        <v>969</v>
      </c>
      <c r="I210" s="27"/>
      <c r="J210" s="28"/>
      <c r="K210" s="26" t="s">
        <v>970</v>
      </c>
      <c r="L210" s="26">
        <f>(30-20+1)/30</f>
        <v>0.366666666666667</v>
      </c>
      <c r="M210" s="28"/>
      <c r="N210" s="28">
        <v>139</v>
      </c>
      <c r="O210" s="28">
        <v>60</v>
      </c>
      <c r="P210" s="48"/>
      <c r="Q210" s="37"/>
      <c r="R210" s="38"/>
      <c r="S210" s="38"/>
      <c r="T210" s="38"/>
      <c r="U210" s="38"/>
    </row>
    <row r="211" ht="150" customHeight="1" spans="1:21">
      <c r="A211" s="11">
        <v>118</v>
      </c>
      <c r="B211" s="11" t="s">
        <v>113</v>
      </c>
      <c r="C211" s="11" t="s">
        <v>971</v>
      </c>
      <c r="D211" s="11" t="s">
        <v>972</v>
      </c>
      <c r="E211" s="17" t="s">
        <v>154</v>
      </c>
      <c r="F211" s="11" t="s">
        <v>973</v>
      </c>
      <c r="G211" s="26">
        <v>26</v>
      </c>
      <c r="H211" s="11" t="s">
        <v>616</v>
      </c>
      <c r="I211" s="26" t="s">
        <v>157</v>
      </c>
      <c r="J211" s="28">
        <v>0</v>
      </c>
      <c r="K211" s="26" t="s">
        <v>542</v>
      </c>
      <c r="L211" s="26">
        <v>1</v>
      </c>
      <c r="M211" s="28">
        <f>L212+L213+L211</f>
        <v>6</v>
      </c>
      <c r="N211" s="28">
        <f>2786.16/G211/L211</f>
        <v>107.16</v>
      </c>
      <c r="O211" s="28">
        <f t="shared" si="35"/>
        <v>53.58</v>
      </c>
      <c r="P211" s="26">
        <f>2786.16*0.5</f>
        <v>1393.08</v>
      </c>
      <c r="Q211" s="37">
        <v>36405</v>
      </c>
      <c r="R211" s="38" t="s">
        <v>974</v>
      </c>
      <c r="S211" s="38" t="s">
        <v>975</v>
      </c>
      <c r="T211" s="38" t="s">
        <v>974</v>
      </c>
      <c r="U211" s="38" t="str">
        <f t="shared" ref="U211:U217" si="36">"港澳处、律所、会所三方审核结论一致，符合给予租金补贴"&amp;Q211&amp;"元条件。"</f>
        <v>港澳处、律所、会所三方审核结论一致，符合给予租金补贴36405元条件。</v>
      </c>
    </row>
    <row r="212" ht="150" customHeight="1" spans="1:21">
      <c r="A212" s="11"/>
      <c r="B212" s="11"/>
      <c r="C212" s="11"/>
      <c r="D212" s="11"/>
      <c r="E212" s="20"/>
      <c r="F212" s="11" t="s">
        <v>976</v>
      </c>
      <c r="G212" s="26">
        <v>29</v>
      </c>
      <c r="H212" s="11" t="s">
        <v>977</v>
      </c>
      <c r="I212" s="26"/>
      <c r="J212" s="28"/>
      <c r="K212" s="11" t="s">
        <v>977</v>
      </c>
      <c r="L212" s="26">
        <v>2</v>
      </c>
      <c r="M212" s="28"/>
      <c r="N212" s="28">
        <f>3107.64/G212</f>
        <v>107.16</v>
      </c>
      <c r="O212" s="28">
        <f t="shared" si="35"/>
        <v>53.58</v>
      </c>
      <c r="P212" s="26">
        <f>3107.64*2*0.5</f>
        <v>3107.64</v>
      </c>
      <c r="Q212" s="37"/>
      <c r="R212" s="38"/>
      <c r="S212" s="38"/>
      <c r="T212" s="38"/>
      <c r="U212" s="38"/>
    </row>
    <row r="213" ht="150" customHeight="1" spans="1:21">
      <c r="A213" s="11"/>
      <c r="B213" s="11"/>
      <c r="C213" s="11"/>
      <c r="D213" s="11"/>
      <c r="E213" s="20"/>
      <c r="F213" s="11" t="s">
        <v>978</v>
      </c>
      <c r="G213" s="26">
        <v>55</v>
      </c>
      <c r="H213" s="11" t="s">
        <v>979</v>
      </c>
      <c r="I213" s="26"/>
      <c r="J213" s="28"/>
      <c r="K213" s="11" t="s">
        <v>979</v>
      </c>
      <c r="L213" s="26">
        <v>3</v>
      </c>
      <c r="M213" s="28"/>
      <c r="N213" s="28">
        <f>(3107.64+2786.16)/G213</f>
        <v>107.16</v>
      </c>
      <c r="O213" s="28">
        <f t="shared" si="35"/>
        <v>53.58</v>
      </c>
      <c r="P213" s="26">
        <f>3107.64*3*0.5+2786.16*3*0.5</f>
        <v>8840.7</v>
      </c>
      <c r="Q213" s="37"/>
      <c r="R213" s="38"/>
      <c r="S213" s="38"/>
      <c r="T213" s="38"/>
      <c r="U213" s="38"/>
    </row>
    <row r="214" ht="150" customHeight="1" spans="1:21">
      <c r="A214" s="11"/>
      <c r="B214" s="11"/>
      <c r="C214" s="11"/>
      <c r="D214" s="11"/>
      <c r="E214" s="18"/>
      <c r="F214" s="11" t="s">
        <v>980</v>
      </c>
      <c r="G214" s="26">
        <v>115.3</v>
      </c>
      <c r="H214" s="11" t="s">
        <v>981</v>
      </c>
      <c r="I214" s="26"/>
      <c r="J214" s="28"/>
      <c r="K214" s="11" t="s">
        <v>982</v>
      </c>
      <c r="L214" s="26">
        <f>(31-7+1)/31+3</f>
        <v>3.80645161290323</v>
      </c>
      <c r="M214" s="28"/>
      <c r="N214" s="28">
        <f>(12355.55+9060.74+12355.55+12355.55)/G214/L214</f>
        <v>105.10158392991</v>
      </c>
      <c r="O214" s="28">
        <f t="shared" si="35"/>
        <v>52.5507919649551</v>
      </c>
      <c r="P214" s="26">
        <f>(12355.55+9060.74+12355.55+12355.55)*0.5</f>
        <v>23063.695</v>
      </c>
      <c r="Q214" s="37"/>
      <c r="R214" s="38"/>
      <c r="S214" s="38"/>
      <c r="T214" s="38"/>
      <c r="U214" s="38"/>
    </row>
    <row r="215" s="3" customFormat="1" ht="300" customHeight="1" spans="1:21">
      <c r="A215" s="11">
        <v>119</v>
      </c>
      <c r="B215" s="11" t="s">
        <v>114</v>
      </c>
      <c r="C215" s="11" t="s">
        <v>983</v>
      </c>
      <c r="D215" s="11" t="s">
        <v>984</v>
      </c>
      <c r="E215" s="11" t="s">
        <v>154</v>
      </c>
      <c r="F215" s="11" t="s">
        <v>985</v>
      </c>
      <c r="G215" s="26">
        <v>268</v>
      </c>
      <c r="H215" s="11" t="s">
        <v>466</v>
      </c>
      <c r="I215" s="11" t="s">
        <v>157</v>
      </c>
      <c r="J215" s="28">
        <v>0</v>
      </c>
      <c r="K215" s="11" t="s">
        <v>1171</v>
      </c>
      <c r="L215" s="26">
        <f>(31-20+1)/31+5</f>
        <v>5.38709677419355</v>
      </c>
      <c r="M215" s="28">
        <f>L215+J215</f>
        <v>5.38709677419355</v>
      </c>
      <c r="N215" s="28">
        <f>34000/268</f>
        <v>126.865671641791</v>
      </c>
      <c r="O215" s="28">
        <v>60</v>
      </c>
      <c r="P215" s="26">
        <f t="shared" ref="P215:P218" si="37">G215*L215*60</f>
        <v>86624.5161290323</v>
      </c>
      <c r="Q215" s="37">
        <v>86624</v>
      </c>
      <c r="R215" s="38" t="s">
        <v>1108</v>
      </c>
      <c r="S215" s="38" t="s">
        <v>1109</v>
      </c>
      <c r="T215" s="38" t="s">
        <v>1108</v>
      </c>
      <c r="U215" s="38" t="str">
        <f t="shared" si="36"/>
        <v>港澳处、律所、会所三方审核结论一致，符合给予租金补贴86624元条件。</v>
      </c>
    </row>
    <row r="216" ht="300" customHeight="1" spans="1:21">
      <c r="A216" s="11">
        <v>120</v>
      </c>
      <c r="B216" s="11" t="s">
        <v>115</v>
      </c>
      <c r="C216" s="11" t="s">
        <v>245</v>
      </c>
      <c r="D216" s="11" t="s">
        <v>989</v>
      </c>
      <c r="E216" s="13" t="s">
        <v>154</v>
      </c>
      <c r="F216" s="11" t="s">
        <v>990</v>
      </c>
      <c r="G216" s="26">
        <v>8.5</v>
      </c>
      <c r="H216" s="11" t="s">
        <v>991</v>
      </c>
      <c r="I216" s="11" t="s">
        <v>157</v>
      </c>
      <c r="J216" s="28">
        <v>0</v>
      </c>
      <c r="K216" s="11" t="s">
        <v>992</v>
      </c>
      <c r="L216" s="26">
        <f>(31-17+1)/31+13</f>
        <v>13.4838709677419</v>
      </c>
      <c r="M216" s="28">
        <f>L216+J216</f>
        <v>13.4838709677419</v>
      </c>
      <c r="N216" s="28">
        <f>1000/8.5</f>
        <v>117.647058823529</v>
      </c>
      <c r="O216" s="28">
        <f t="shared" ref="O216:O220" si="38">N216*0.5</f>
        <v>58.8235294117647</v>
      </c>
      <c r="P216" s="26">
        <f>G216*L216*(1000/8.5)/2</f>
        <v>6741.93548387097</v>
      </c>
      <c r="Q216" s="37">
        <v>6741</v>
      </c>
      <c r="R216" s="38" t="s">
        <v>993</v>
      </c>
      <c r="S216" s="38" t="s">
        <v>994</v>
      </c>
      <c r="T216" s="38" t="s">
        <v>993</v>
      </c>
      <c r="U216" s="38" t="str">
        <f t="shared" si="36"/>
        <v>港澳处、律所、会所三方审核结论一致，符合给予租金补贴6741元条件。</v>
      </c>
    </row>
    <row r="217" ht="150" customHeight="1" spans="1:21">
      <c r="A217" s="11">
        <v>121</v>
      </c>
      <c r="B217" s="11" t="s">
        <v>116</v>
      </c>
      <c r="C217" s="11" t="s">
        <v>995</v>
      </c>
      <c r="D217" s="11" t="s">
        <v>996</v>
      </c>
      <c r="E217" s="17" t="s">
        <v>154</v>
      </c>
      <c r="F217" s="11" t="s">
        <v>997</v>
      </c>
      <c r="G217" s="26">
        <v>150</v>
      </c>
      <c r="H217" s="11" t="s">
        <v>998</v>
      </c>
      <c r="I217" s="11" t="s">
        <v>157</v>
      </c>
      <c r="J217" s="28">
        <v>0</v>
      </c>
      <c r="K217" s="11" t="s">
        <v>998</v>
      </c>
      <c r="L217" s="26">
        <f>(31-28+1)/31+3+27/30</f>
        <v>4.02903225806452</v>
      </c>
      <c r="M217" s="28">
        <f>L217+L218+J217</f>
        <v>6.02903225806452</v>
      </c>
      <c r="N217" s="28">
        <f>22000/150</f>
        <v>146.666666666667</v>
      </c>
      <c r="O217" s="28">
        <v>60</v>
      </c>
      <c r="P217" s="26">
        <f t="shared" si="37"/>
        <v>36261.2903225806</v>
      </c>
      <c r="Q217" s="37">
        <v>56061</v>
      </c>
      <c r="R217" s="38" t="s">
        <v>999</v>
      </c>
      <c r="S217" s="38" t="s">
        <v>1000</v>
      </c>
      <c r="T217" s="38" t="s">
        <v>999</v>
      </c>
      <c r="U217" s="38" t="str">
        <f t="shared" si="36"/>
        <v>港澳处、律所、会所三方审核结论一致，符合给予租金补贴56061元条件。</v>
      </c>
    </row>
    <row r="218" ht="150" customHeight="1" spans="1:21">
      <c r="A218" s="11"/>
      <c r="B218" s="11"/>
      <c r="C218" s="11"/>
      <c r="D218" s="11"/>
      <c r="E218" s="18"/>
      <c r="F218" s="11" t="s">
        <v>1001</v>
      </c>
      <c r="G218" s="26">
        <v>165</v>
      </c>
      <c r="H218" s="11" t="s">
        <v>1002</v>
      </c>
      <c r="I218" s="11"/>
      <c r="J218" s="28"/>
      <c r="K218" s="26" t="s">
        <v>1003</v>
      </c>
      <c r="L218" s="26">
        <f>(30-28+1)/30+1+27/30</f>
        <v>2</v>
      </c>
      <c r="M218" s="28"/>
      <c r="N218" s="28">
        <v>147.46</v>
      </c>
      <c r="O218" s="28">
        <v>60</v>
      </c>
      <c r="P218" s="26">
        <f t="shared" si="37"/>
        <v>19800</v>
      </c>
      <c r="Q218" s="37"/>
      <c r="R218" s="38"/>
      <c r="S218" s="38"/>
      <c r="T218" s="38"/>
      <c r="U218" s="38"/>
    </row>
    <row r="219" ht="150" customHeight="1" spans="1:21">
      <c r="A219" s="11">
        <v>122</v>
      </c>
      <c r="B219" s="11" t="s">
        <v>117</v>
      </c>
      <c r="C219" s="11" t="s">
        <v>644</v>
      </c>
      <c r="D219" s="11" t="s">
        <v>1004</v>
      </c>
      <c r="E219" s="17" t="s">
        <v>154</v>
      </c>
      <c r="F219" s="11" t="s">
        <v>1005</v>
      </c>
      <c r="G219" s="26">
        <v>10</v>
      </c>
      <c r="H219" s="11" t="s">
        <v>1006</v>
      </c>
      <c r="I219" s="11" t="s">
        <v>157</v>
      </c>
      <c r="J219" s="28">
        <v>0</v>
      </c>
      <c r="K219" s="11" t="s">
        <v>1006</v>
      </c>
      <c r="L219" s="26">
        <v>12</v>
      </c>
      <c r="M219" s="28">
        <f>+L219+L220</f>
        <v>19.2</v>
      </c>
      <c r="N219" s="28">
        <f>1090/10</f>
        <v>109</v>
      </c>
      <c r="O219" s="28">
        <f t="shared" si="38"/>
        <v>54.5</v>
      </c>
      <c r="P219" s="26">
        <f>L219*1090/2</f>
        <v>6540</v>
      </c>
      <c r="Q219" s="37">
        <v>10464</v>
      </c>
      <c r="R219" s="38" t="s">
        <v>1007</v>
      </c>
      <c r="S219" s="38" t="s">
        <v>1008</v>
      </c>
      <c r="T219" s="38" t="s">
        <v>1007</v>
      </c>
      <c r="U219" s="38" t="str">
        <f t="shared" ref="U219:U222" si="39">"港澳处、律所、会所三方审核结论一致，符合给予租金补贴"&amp;Q219&amp;"元条件。"</f>
        <v>港澳处、律所、会所三方审核结论一致，符合给予租金补贴10464元条件。</v>
      </c>
    </row>
    <row r="220" ht="150" customHeight="1" spans="1:21">
      <c r="A220" s="11"/>
      <c r="B220" s="11"/>
      <c r="C220" s="11"/>
      <c r="D220" s="11"/>
      <c r="E220" s="18"/>
      <c r="F220" s="11" t="s">
        <v>1009</v>
      </c>
      <c r="G220" s="26">
        <v>10</v>
      </c>
      <c r="H220" s="11" t="s">
        <v>1010</v>
      </c>
      <c r="I220" s="11"/>
      <c r="J220" s="28"/>
      <c r="K220" s="11" t="s">
        <v>233</v>
      </c>
      <c r="L220" s="26">
        <f>(30-25+1)/30+7</f>
        <v>7.2</v>
      </c>
      <c r="M220" s="28"/>
      <c r="N220" s="28">
        <f>1090/10</f>
        <v>109</v>
      </c>
      <c r="O220" s="28">
        <f t="shared" si="38"/>
        <v>54.5</v>
      </c>
      <c r="P220" s="26">
        <f>L220*1090/2</f>
        <v>3924</v>
      </c>
      <c r="Q220" s="37"/>
      <c r="R220" s="38"/>
      <c r="S220" s="38"/>
      <c r="T220" s="38"/>
      <c r="U220" s="38"/>
    </row>
    <row r="221" ht="300" customHeight="1" spans="1:21">
      <c r="A221" s="11">
        <v>123</v>
      </c>
      <c r="B221" s="11" t="s">
        <v>118</v>
      </c>
      <c r="C221" s="11" t="s">
        <v>1011</v>
      </c>
      <c r="D221" s="11" t="s">
        <v>1012</v>
      </c>
      <c r="E221" s="13" t="s">
        <v>154</v>
      </c>
      <c r="F221" s="11" t="s">
        <v>1013</v>
      </c>
      <c r="G221" s="26">
        <v>10</v>
      </c>
      <c r="H221" s="11" t="s">
        <v>1014</v>
      </c>
      <c r="I221" s="11" t="s">
        <v>157</v>
      </c>
      <c r="J221" s="28">
        <v>0</v>
      </c>
      <c r="K221" s="11" t="s">
        <v>1015</v>
      </c>
      <c r="L221" s="26">
        <f>(30-8+1)/30+12</f>
        <v>12.7666666666667</v>
      </c>
      <c r="M221" s="28">
        <f t="shared" ref="M221:M230" si="40">L221+J221</f>
        <v>12.7666666666667</v>
      </c>
      <c r="N221" s="28">
        <v>150</v>
      </c>
      <c r="O221" s="28">
        <v>60</v>
      </c>
      <c r="P221" s="26">
        <f t="shared" ref="P221:P233" si="41">G221*L221*60</f>
        <v>7660</v>
      </c>
      <c r="Q221" s="37">
        <v>7660</v>
      </c>
      <c r="R221" s="38" t="s">
        <v>1016</v>
      </c>
      <c r="S221" s="38" t="s">
        <v>1017</v>
      </c>
      <c r="T221" s="38" t="s">
        <v>1016</v>
      </c>
      <c r="U221" s="38" t="str">
        <f t="shared" si="39"/>
        <v>港澳处、律所、会所三方审核结论一致，符合给予租金补贴7660元条件。</v>
      </c>
    </row>
    <row r="222" ht="150" customHeight="1" spans="1:21">
      <c r="A222" s="11">
        <v>124</v>
      </c>
      <c r="B222" s="11" t="s">
        <v>119</v>
      </c>
      <c r="C222" s="11" t="s">
        <v>1018</v>
      </c>
      <c r="D222" s="11" t="s">
        <v>1019</v>
      </c>
      <c r="E222" s="17" t="s">
        <v>154</v>
      </c>
      <c r="F222" s="11" t="s">
        <v>1020</v>
      </c>
      <c r="G222" s="26">
        <v>42.38</v>
      </c>
      <c r="H222" s="11" t="s">
        <v>1021</v>
      </c>
      <c r="I222" s="11" t="s">
        <v>157</v>
      </c>
      <c r="J222" s="28">
        <v>0</v>
      </c>
      <c r="K222" s="26" t="s">
        <v>1022</v>
      </c>
      <c r="L222" s="26">
        <f>6+27/31</f>
        <v>6.87096774193548</v>
      </c>
      <c r="M222" s="28">
        <f>L222+L223+J222</f>
        <v>12.5483870967742</v>
      </c>
      <c r="N222" s="28">
        <v>143.17</v>
      </c>
      <c r="O222" s="28">
        <v>60</v>
      </c>
      <c r="P222" s="26">
        <f t="shared" si="41"/>
        <v>17471.4967741935</v>
      </c>
      <c r="Q222" s="37">
        <v>29121</v>
      </c>
      <c r="R222" s="38" t="s">
        <v>1023</v>
      </c>
      <c r="S222" s="38" t="s">
        <v>1024</v>
      </c>
      <c r="T222" s="38" t="s">
        <v>1023</v>
      </c>
      <c r="U222" s="38" t="str">
        <f t="shared" si="39"/>
        <v>港澳处、律所、会所三方审核结论一致，符合给予租金补贴29121元条件。</v>
      </c>
    </row>
    <row r="223" ht="150" customHeight="1" spans="1:21">
      <c r="A223" s="11"/>
      <c r="B223" s="11"/>
      <c r="C223" s="11"/>
      <c r="D223" s="11"/>
      <c r="E223" s="18"/>
      <c r="F223" s="11" t="s">
        <v>1025</v>
      </c>
      <c r="G223" s="26">
        <v>34.2</v>
      </c>
      <c r="H223" s="11" t="s">
        <v>1026</v>
      </c>
      <c r="I223" s="11"/>
      <c r="J223" s="28"/>
      <c r="K223" s="11" t="s">
        <v>1027</v>
      </c>
      <c r="L223" s="26">
        <f>(31-11+1)/31+5</f>
        <v>5.67741935483871</v>
      </c>
      <c r="M223" s="28"/>
      <c r="N223" s="28">
        <v>147.46</v>
      </c>
      <c r="O223" s="28">
        <v>60</v>
      </c>
      <c r="P223" s="26">
        <f t="shared" si="41"/>
        <v>11650.064516129</v>
      </c>
      <c r="Q223" s="37"/>
      <c r="R223" s="38"/>
      <c r="S223" s="38"/>
      <c r="T223" s="38"/>
      <c r="U223" s="38"/>
    </row>
    <row r="224" s="3" customFormat="1" ht="300" customHeight="1" spans="1:21">
      <c r="A224" s="11">
        <v>125</v>
      </c>
      <c r="B224" s="11" t="s">
        <v>1172</v>
      </c>
      <c r="C224" s="11" t="s">
        <v>1111</v>
      </c>
      <c r="D224" s="11" t="s">
        <v>1173</v>
      </c>
      <c r="E224" s="11" t="s">
        <v>154</v>
      </c>
      <c r="F224" s="11" t="s">
        <v>1174</v>
      </c>
      <c r="G224" s="26">
        <v>146.4</v>
      </c>
      <c r="H224" s="11" t="s">
        <v>1175</v>
      </c>
      <c r="I224" s="11" t="s">
        <v>157</v>
      </c>
      <c r="J224" s="28">
        <v>0</v>
      </c>
      <c r="K224" s="26" t="s">
        <v>1176</v>
      </c>
      <c r="L224" s="26">
        <f>7+1/30</f>
        <v>7.03333333333333</v>
      </c>
      <c r="M224" s="28">
        <f t="shared" si="40"/>
        <v>7.03333333333333</v>
      </c>
      <c r="N224" s="28">
        <f>17568/G224</f>
        <v>120</v>
      </c>
      <c r="O224" s="28">
        <v>60</v>
      </c>
      <c r="P224" s="26">
        <f t="shared" si="41"/>
        <v>61780.8</v>
      </c>
      <c r="Q224" s="37">
        <v>61780</v>
      </c>
      <c r="R224" s="38" t="s">
        <v>1177</v>
      </c>
      <c r="S224" s="38" t="s">
        <v>1178</v>
      </c>
      <c r="T224" s="38" t="s">
        <v>1177</v>
      </c>
      <c r="U224" s="38" t="str">
        <f t="shared" ref="U224:U231" si="42">"港澳处、律所、会所三方审核结论一致，符合给予租金补贴"&amp;Q224&amp;"元条件。"</f>
        <v>港澳处、律所、会所三方审核结论一致，符合给予租金补贴61780元条件。</v>
      </c>
    </row>
    <row r="225" ht="300" customHeight="1" spans="1:21">
      <c r="A225" s="11">
        <v>126</v>
      </c>
      <c r="B225" s="11" t="s">
        <v>120</v>
      </c>
      <c r="C225" s="11" t="s">
        <v>1028</v>
      </c>
      <c r="D225" s="11" t="s">
        <v>1029</v>
      </c>
      <c r="E225" s="13" t="s">
        <v>154</v>
      </c>
      <c r="F225" s="11" t="s">
        <v>1030</v>
      </c>
      <c r="G225" s="26">
        <v>10</v>
      </c>
      <c r="H225" s="11" t="s">
        <v>782</v>
      </c>
      <c r="I225" s="11" t="s">
        <v>157</v>
      </c>
      <c r="J225" s="28">
        <v>0</v>
      </c>
      <c r="K225" s="26" t="s">
        <v>320</v>
      </c>
      <c r="L225" s="26">
        <v>4</v>
      </c>
      <c r="M225" s="28">
        <f t="shared" si="40"/>
        <v>4</v>
      </c>
      <c r="N225" s="28">
        <v>130</v>
      </c>
      <c r="O225" s="28">
        <v>60</v>
      </c>
      <c r="P225" s="26">
        <f t="shared" si="41"/>
        <v>2400</v>
      </c>
      <c r="Q225" s="37">
        <v>2400</v>
      </c>
      <c r="R225" s="38" t="s">
        <v>1031</v>
      </c>
      <c r="S225" s="38" t="s">
        <v>1032</v>
      </c>
      <c r="T225" s="38" t="s">
        <v>1031</v>
      </c>
      <c r="U225" s="38" t="str">
        <f t="shared" si="42"/>
        <v>港澳处、律所、会所三方审核结论一致，符合给予租金补贴2400元条件。</v>
      </c>
    </row>
    <row r="226" ht="300" customHeight="1" spans="1:21">
      <c r="A226" s="11">
        <v>127</v>
      </c>
      <c r="B226" s="11" t="s">
        <v>121</v>
      </c>
      <c r="C226" s="11" t="s">
        <v>1033</v>
      </c>
      <c r="D226" s="11" t="s">
        <v>1034</v>
      </c>
      <c r="E226" s="13" t="s">
        <v>154</v>
      </c>
      <c r="F226" s="11" t="s">
        <v>1035</v>
      </c>
      <c r="G226" s="26">
        <v>10</v>
      </c>
      <c r="H226" s="11" t="s">
        <v>1036</v>
      </c>
      <c r="I226" s="11" t="s">
        <v>157</v>
      </c>
      <c r="J226" s="28">
        <v>0</v>
      </c>
      <c r="K226" s="26" t="s">
        <v>499</v>
      </c>
      <c r="L226" s="26">
        <v>7</v>
      </c>
      <c r="M226" s="28">
        <f t="shared" si="40"/>
        <v>7</v>
      </c>
      <c r="N226" s="28">
        <v>160</v>
      </c>
      <c r="O226" s="28">
        <v>60</v>
      </c>
      <c r="P226" s="26">
        <f t="shared" si="41"/>
        <v>4200</v>
      </c>
      <c r="Q226" s="37">
        <v>4200</v>
      </c>
      <c r="R226" s="38" t="s">
        <v>1037</v>
      </c>
      <c r="S226" s="38" t="s">
        <v>1038</v>
      </c>
      <c r="T226" s="38" t="s">
        <v>1037</v>
      </c>
      <c r="U226" s="38" t="str">
        <f t="shared" si="42"/>
        <v>港澳处、律所、会所三方审核结论一致，符合给予租金补贴4200元条件。</v>
      </c>
    </row>
    <row r="227" ht="300" customHeight="1" spans="1:21">
      <c r="A227" s="11">
        <v>128</v>
      </c>
      <c r="B227" s="11" t="s">
        <v>122</v>
      </c>
      <c r="C227" s="11" t="s">
        <v>1039</v>
      </c>
      <c r="D227" s="11" t="s">
        <v>1040</v>
      </c>
      <c r="E227" s="13" t="s">
        <v>154</v>
      </c>
      <c r="F227" s="11" t="s">
        <v>1041</v>
      </c>
      <c r="G227" s="26">
        <v>10</v>
      </c>
      <c r="H227" s="11" t="s">
        <v>1036</v>
      </c>
      <c r="I227" s="11" t="s">
        <v>157</v>
      </c>
      <c r="J227" s="28">
        <v>0</v>
      </c>
      <c r="K227" s="26" t="s">
        <v>499</v>
      </c>
      <c r="L227" s="26">
        <v>7</v>
      </c>
      <c r="M227" s="28">
        <f t="shared" si="40"/>
        <v>7</v>
      </c>
      <c r="N227" s="28">
        <v>160</v>
      </c>
      <c r="O227" s="28">
        <v>60</v>
      </c>
      <c r="P227" s="26">
        <f t="shared" si="41"/>
        <v>4200</v>
      </c>
      <c r="Q227" s="37">
        <v>4200</v>
      </c>
      <c r="R227" s="38" t="s">
        <v>1037</v>
      </c>
      <c r="S227" s="38" t="s">
        <v>1038</v>
      </c>
      <c r="T227" s="38" t="s">
        <v>1037</v>
      </c>
      <c r="U227" s="38" t="str">
        <f t="shared" si="42"/>
        <v>港澳处、律所、会所三方审核结论一致，符合给予租金补贴4200元条件。</v>
      </c>
    </row>
    <row r="228" ht="300" customHeight="1" spans="1:21">
      <c r="A228" s="11">
        <v>129</v>
      </c>
      <c r="B228" s="11" t="s">
        <v>123</v>
      </c>
      <c r="C228" s="11" t="s">
        <v>1042</v>
      </c>
      <c r="D228" s="11" t="s">
        <v>1043</v>
      </c>
      <c r="E228" s="13" t="s">
        <v>154</v>
      </c>
      <c r="F228" s="11" t="s">
        <v>1044</v>
      </c>
      <c r="G228" s="26">
        <v>10</v>
      </c>
      <c r="H228" s="11" t="s">
        <v>1045</v>
      </c>
      <c r="I228" s="11" t="s">
        <v>220</v>
      </c>
      <c r="J228" s="28">
        <v>12</v>
      </c>
      <c r="K228" s="26" t="s">
        <v>359</v>
      </c>
      <c r="L228" s="26">
        <v>12</v>
      </c>
      <c r="M228" s="28">
        <f t="shared" si="40"/>
        <v>24</v>
      </c>
      <c r="N228" s="28">
        <v>130</v>
      </c>
      <c r="O228" s="28">
        <v>60</v>
      </c>
      <c r="P228" s="26">
        <f t="shared" si="41"/>
        <v>7200</v>
      </c>
      <c r="Q228" s="37">
        <v>7200</v>
      </c>
      <c r="R228" s="38" t="s">
        <v>375</v>
      </c>
      <c r="S228" s="38" t="s">
        <v>376</v>
      </c>
      <c r="T228" s="38" t="s">
        <v>375</v>
      </c>
      <c r="U228" s="38" t="str">
        <f t="shared" si="42"/>
        <v>港澳处、律所、会所三方审核结论一致，符合给予租金补贴7200元条件。</v>
      </c>
    </row>
    <row r="229" ht="300" customHeight="1" spans="1:21">
      <c r="A229" s="11">
        <v>130</v>
      </c>
      <c r="B229" s="11" t="s">
        <v>124</v>
      </c>
      <c r="C229" s="11" t="s">
        <v>1018</v>
      </c>
      <c r="D229" s="11" t="s">
        <v>1046</v>
      </c>
      <c r="E229" s="13" t="s">
        <v>154</v>
      </c>
      <c r="F229" s="11" t="s">
        <v>1047</v>
      </c>
      <c r="G229" s="26">
        <v>10</v>
      </c>
      <c r="H229" s="11" t="s">
        <v>1036</v>
      </c>
      <c r="I229" s="11" t="s">
        <v>157</v>
      </c>
      <c r="J229" s="28">
        <v>0</v>
      </c>
      <c r="K229" s="26" t="s">
        <v>499</v>
      </c>
      <c r="L229" s="26">
        <v>7</v>
      </c>
      <c r="M229" s="28">
        <f t="shared" si="40"/>
        <v>7</v>
      </c>
      <c r="N229" s="28">
        <v>130</v>
      </c>
      <c r="O229" s="28">
        <v>60</v>
      </c>
      <c r="P229" s="26">
        <f t="shared" si="41"/>
        <v>4200</v>
      </c>
      <c r="Q229" s="37">
        <v>4200</v>
      </c>
      <c r="R229" s="38" t="s">
        <v>1037</v>
      </c>
      <c r="S229" s="38" t="s">
        <v>1038</v>
      </c>
      <c r="T229" s="38" t="s">
        <v>1037</v>
      </c>
      <c r="U229" s="38" t="str">
        <f t="shared" si="42"/>
        <v>港澳处、律所、会所三方审核结论一致，符合给予租金补贴4200元条件。</v>
      </c>
    </row>
    <row r="230" ht="300" customHeight="1" spans="1:21">
      <c r="A230" s="11">
        <v>131</v>
      </c>
      <c r="B230" s="11" t="s">
        <v>125</v>
      </c>
      <c r="C230" s="11" t="s">
        <v>1048</v>
      </c>
      <c r="D230" s="11" t="s">
        <v>1049</v>
      </c>
      <c r="E230" s="13" t="s">
        <v>154</v>
      </c>
      <c r="F230" s="11" t="s">
        <v>1050</v>
      </c>
      <c r="G230" s="26">
        <v>50</v>
      </c>
      <c r="H230" s="11" t="s">
        <v>399</v>
      </c>
      <c r="I230" s="11" t="s">
        <v>157</v>
      </c>
      <c r="J230" s="28">
        <v>0</v>
      </c>
      <c r="K230" s="26" t="s">
        <v>1051</v>
      </c>
      <c r="L230" s="26">
        <f>(30-4+1)/30+9</f>
        <v>9.9</v>
      </c>
      <c r="M230" s="28">
        <f t="shared" si="40"/>
        <v>9.9</v>
      </c>
      <c r="N230" s="28">
        <v>150</v>
      </c>
      <c r="O230" s="28">
        <v>60</v>
      </c>
      <c r="P230" s="26">
        <f t="shared" si="41"/>
        <v>29700</v>
      </c>
      <c r="Q230" s="37">
        <v>29700</v>
      </c>
      <c r="R230" s="38" t="s">
        <v>1052</v>
      </c>
      <c r="S230" s="38" t="s">
        <v>1053</v>
      </c>
      <c r="T230" s="38" t="s">
        <v>1052</v>
      </c>
      <c r="U230" s="38" t="str">
        <f t="shared" si="42"/>
        <v>港澳处、律所、会所三方审核结论一致，符合给予租金补贴29700元条件。</v>
      </c>
    </row>
    <row r="231" ht="150" customHeight="1" spans="1:21">
      <c r="A231" s="11">
        <v>132</v>
      </c>
      <c r="B231" s="11" t="s">
        <v>126</v>
      </c>
      <c r="C231" s="11" t="s">
        <v>1054</v>
      </c>
      <c r="D231" s="85" t="s">
        <v>1055</v>
      </c>
      <c r="E231" s="17" t="s">
        <v>154</v>
      </c>
      <c r="F231" s="11" t="s">
        <v>1056</v>
      </c>
      <c r="G231" s="26">
        <v>1560</v>
      </c>
      <c r="H231" s="11" t="s">
        <v>1057</v>
      </c>
      <c r="I231" s="11" t="s">
        <v>157</v>
      </c>
      <c r="J231" s="28">
        <v>0</v>
      </c>
      <c r="K231" s="11" t="s">
        <v>1057</v>
      </c>
      <c r="L231" s="26">
        <v>3</v>
      </c>
      <c r="M231" s="28">
        <f>L231+L232+J231</f>
        <v>5</v>
      </c>
      <c r="N231" s="28">
        <v>147.47</v>
      </c>
      <c r="O231" s="28">
        <v>60</v>
      </c>
      <c r="P231" s="26">
        <f t="shared" si="41"/>
        <v>280800</v>
      </c>
      <c r="Q231" s="37">
        <v>300000</v>
      </c>
      <c r="R231" s="38" t="s">
        <v>476</v>
      </c>
      <c r="S231" s="38" t="s">
        <v>477</v>
      </c>
      <c r="T231" s="38" t="s">
        <v>476</v>
      </c>
      <c r="U231" s="38" t="str">
        <f t="shared" si="42"/>
        <v>港澳处、律所、会所三方审核结论一致，符合给予租金补贴300000元条件。</v>
      </c>
    </row>
    <row r="232" ht="150" customHeight="1" spans="1:21">
      <c r="A232" s="11"/>
      <c r="B232" s="11"/>
      <c r="C232" s="11"/>
      <c r="D232" s="11"/>
      <c r="E232" s="18"/>
      <c r="F232" s="11" t="s">
        <v>1058</v>
      </c>
      <c r="G232" s="26">
        <v>1800</v>
      </c>
      <c r="H232" s="11" t="s">
        <v>1059</v>
      </c>
      <c r="I232" s="11"/>
      <c r="J232" s="28"/>
      <c r="K232" s="26" t="s">
        <v>228</v>
      </c>
      <c r="L232" s="26">
        <v>2</v>
      </c>
      <c r="M232" s="28"/>
      <c r="N232" s="28">
        <f>265446/1800</f>
        <v>147.47</v>
      </c>
      <c r="O232" s="28">
        <v>60</v>
      </c>
      <c r="P232" s="26">
        <f t="shared" si="41"/>
        <v>216000</v>
      </c>
      <c r="Q232" s="37"/>
      <c r="R232" s="38"/>
      <c r="S232" s="38"/>
      <c r="T232" s="38"/>
      <c r="U232" s="38"/>
    </row>
    <row r="233" ht="300" customHeight="1" spans="1:21">
      <c r="A233" s="11">
        <v>133</v>
      </c>
      <c r="B233" s="11" t="s">
        <v>1060</v>
      </c>
      <c r="C233" s="11" t="s">
        <v>1061</v>
      </c>
      <c r="D233" s="11" t="s">
        <v>1062</v>
      </c>
      <c r="E233" s="13" t="s">
        <v>154</v>
      </c>
      <c r="F233" s="11" t="s">
        <v>1063</v>
      </c>
      <c r="G233" s="26">
        <v>10</v>
      </c>
      <c r="H233" s="11" t="s">
        <v>257</v>
      </c>
      <c r="I233" s="11" t="s">
        <v>220</v>
      </c>
      <c r="J233" s="28">
        <v>12</v>
      </c>
      <c r="K233" s="26" t="s">
        <v>206</v>
      </c>
      <c r="L233" s="26">
        <f>(31-17+1)/31+6</f>
        <v>6.48387096774194</v>
      </c>
      <c r="M233" s="28">
        <f t="shared" ref="M233:M235" si="43">L233+J233</f>
        <v>18.4838709677419</v>
      </c>
      <c r="N233" s="28">
        <v>150</v>
      </c>
      <c r="O233" s="28">
        <v>60</v>
      </c>
      <c r="P233" s="26">
        <f t="shared" si="41"/>
        <v>3890.32258064516</v>
      </c>
      <c r="Q233" s="37">
        <v>3890</v>
      </c>
      <c r="R233" s="38" t="s">
        <v>439</v>
      </c>
      <c r="S233" s="38" t="s">
        <v>440</v>
      </c>
      <c r="T233" s="38" t="s">
        <v>439</v>
      </c>
      <c r="U233" s="38" t="str">
        <f t="shared" ref="U233:U236" si="44">"港澳处、律所、会所三方审核结论一致，符合给予租金补贴"&amp;Q233&amp;"元条件。"</f>
        <v>港澳处、律所、会所三方审核结论一致，符合给予租金补贴3890元条件。</v>
      </c>
    </row>
    <row r="234" ht="300" customHeight="1" spans="1:21">
      <c r="A234" s="11">
        <v>134</v>
      </c>
      <c r="B234" s="11" t="s">
        <v>127</v>
      </c>
      <c r="C234" s="11" t="s">
        <v>1064</v>
      </c>
      <c r="D234" s="11" t="s">
        <v>1065</v>
      </c>
      <c r="E234" s="13" t="s">
        <v>154</v>
      </c>
      <c r="F234" s="11" t="s">
        <v>1066</v>
      </c>
      <c r="G234" s="26">
        <v>580</v>
      </c>
      <c r="H234" s="11" t="s">
        <v>675</v>
      </c>
      <c r="I234" s="11" t="s">
        <v>157</v>
      </c>
      <c r="J234" s="28">
        <v>0</v>
      </c>
      <c r="K234" s="26" t="s">
        <v>1067</v>
      </c>
      <c r="L234" s="26">
        <v>18</v>
      </c>
      <c r="M234" s="28">
        <f t="shared" si="43"/>
        <v>18</v>
      </c>
      <c r="N234" s="28">
        <v>160</v>
      </c>
      <c r="O234" s="28">
        <v>60</v>
      </c>
      <c r="P234" s="26">
        <f>G234*12*60+G234*6*60</f>
        <v>626400</v>
      </c>
      <c r="Q234" s="37">
        <v>508800</v>
      </c>
      <c r="R234" s="38" t="s">
        <v>1068</v>
      </c>
      <c r="S234" s="38" t="s">
        <v>1069</v>
      </c>
      <c r="T234" s="38" t="s">
        <v>1068</v>
      </c>
      <c r="U234" s="38" t="str">
        <f t="shared" si="44"/>
        <v>港澳处、律所、会所三方审核结论一致，符合给予租金补贴508800元条件。</v>
      </c>
    </row>
    <row r="235" ht="300" customHeight="1" spans="1:21">
      <c r="A235" s="11">
        <v>135</v>
      </c>
      <c r="B235" s="11" t="s">
        <v>128</v>
      </c>
      <c r="C235" s="11" t="s">
        <v>1070</v>
      </c>
      <c r="D235" s="11" t="s">
        <v>1071</v>
      </c>
      <c r="E235" s="13" t="s">
        <v>154</v>
      </c>
      <c r="F235" s="11" t="s">
        <v>1072</v>
      </c>
      <c r="G235" s="26">
        <v>42.38</v>
      </c>
      <c r="H235" s="11" t="s">
        <v>613</v>
      </c>
      <c r="I235" s="11" t="s">
        <v>157</v>
      </c>
      <c r="J235" s="28">
        <v>0</v>
      </c>
      <c r="K235" s="26" t="s">
        <v>602</v>
      </c>
      <c r="L235" s="26">
        <v>6</v>
      </c>
      <c r="M235" s="28">
        <f t="shared" si="43"/>
        <v>6</v>
      </c>
      <c r="N235" s="28">
        <v>147.46</v>
      </c>
      <c r="O235" s="28">
        <v>60</v>
      </c>
      <c r="P235" s="26">
        <f t="shared" ref="P235:P237" si="45">G235*L235*60</f>
        <v>15256.8</v>
      </c>
      <c r="Q235" s="37">
        <v>15256</v>
      </c>
      <c r="R235" s="38" t="s">
        <v>1073</v>
      </c>
      <c r="S235" s="38" t="s">
        <v>1074</v>
      </c>
      <c r="T235" s="38" t="s">
        <v>1073</v>
      </c>
      <c r="U235" s="38" t="str">
        <f t="shared" si="44"/>
        <v>港澳处、律所、会所三方审核结论一致，符合给予租金补贴15256元条件。</v>
      </c>
    </row>
    <row r="236" ht="150" customHeight="1" spans="1:21">
      <c r="A236" s="11">
        <v>136</v>
      </c>
      <c r="B236" s="11" t="s">
        <v>129</v>
      </c>
      <c r="C236" s="11" t="s">
        <v>1075</v>
      </c>
      <c r="D236" s="11" t="s">
        <v>1076</v>
      </c>
      <c r="E236" s="17" t="s">
        <v>154</v>
      </c>
      <c r="F236" s="11" t="s">
        <v>1077</v>
      </c>
      <c r="G236" s="26">
        <v>8</v>
      </c>
      <c r="H236" s="11" t="s">
        <v>1078</v>
      </c>
      <c r="I236" s="11" t="s">
        <v>157</v>
      </c>
      <c r="J236" s="28">
        <v>0</v>
      </c>
      <c r="K236" s="26" t="s">
        <v>1079</v>
      </c>
      <c r="L236" s="26">
        <f>(31-17+1)/31+11</f>
        <v>11.4838709677419</v>
      </c>
      <c r="M236" s="28">
        <v>11.48</v>
      </c>
      <c r="N236" s="28">
        <f>1500/8</f>
        <v>187.5</v>
      </c>
      <c r="O236" s="28">
        <v>60</v>
      </c>
      <c r="P236" s="26">
        <f t="shared" si="45"/>
        <v>5512.25806451613</v>
      </c>
      <c r="Q236" s="37">
        <v>10912</v>
      </c>
      <c r="R236" s="38" t="s">
        <v>1080</v>
      </c>
      <c r="S236" s="38" t="s">
        <v>1081</v>
      </c>
      <c r="T236" s="38" t="s">
        <v>1080</v>
      </c>
      <c r="U236" s="38" t="str">
        <f t="shared" si="44"/>
        <v>港澳处、律所、会所三方审核结论一致，符合给予租金补贴10912元条件。</v>
      </c>
    </row>
    <row r="237" ht="150" customHeight="1" spans="1:21">
      <c r="A237" s="11"/>
      <c r="B237" s="11"/>
      <c r="C237" s="11"/>
      <c r="D237" s="11"/>
      <c r="E237" s="18"/>
      <c r="F237" s="11" t="s">
        <v>1082</v>
      </c>
      <c r="G237" s="26">
        <v>30</v>
      </c>
      <c r="H237" s="11" t="s">
        <v>272</v>
      </c>
      <c r="I237" s="11"/>
      <c r="J237" s="28"/>
      <c r="K237" s="26" t="s">
        <v>273</v>
      </c>
      <c r="L237" s="26">
        <v>3</v>
      </c>
      <c r="M237" s="28"/>
      <c r="N237" s="28">
        <v>147.46</v>
      </c>
      <c r="O237" s="28">
        <v>60</v>
      </c>
      <c r="P237" s="26">
        <f t="shared" si="45"/>
        <v>5400</v>
      </c>
      <c r="Q237" s="37"/>
      <c r="R237" s="38"/>
      <c r="S237" s="38"/>
      <c r="T237" s="38"/>
      <c r="U237" s="38"/>
    </row>
    <row r="238" s="3" customFormat="1" ht="150" customHeight="1" spans="1:21">
      <c r="A238" s="40">
        <v>137</v>
      </c>
      <c r="B238" s="21" t="s">
        <v>130</v>
      </c>
      <c r="C238" s="21" t="s">
        <v>1083</v>
      </c>
      <c r="D238" s="21" t="s">
        <v>1084</v>
      </c>
      <c r="E238" s="20" t="s">
        <v>154</v>
      </c>
      <c r="F238" s="40" t="s">
        <v>1085</v>
      </c>
      <c r="G238" s="47">
        <v>10</v>
      </c>
      <c r="H238" s="40" t="s">
        <v>1086</v>
      </c>
      <c r="I238" s="40" t="s">
        <v>1087</v>
      </c>
      <c r="J238" s="29">
        <v>0</v>
      </c>
      <c r="K238" s="27" t="s">
        <v>1179</v>
      </c>
      <c r="L238" s="26">
        <f>2+(31-8+1)/31</f>
        <v>2.7741935483871</v>
      </c>
      <c r="M238" s="47">
        <f>L238+L239</f>
        <v>3.01557285873192</v>
      </c>
      <c r="N238" s="26">
        <v>260</v>
      </c>
      <c r="O238" s="26">
        <v>60</v>
      </c>
      <c r="P238" s="26">
        <f>L238*G238*O238</f>
        <v>1664.51612903226</v>
      </c>
      <c r="Q238" s="50">
        <v>1809</v>
      </c>
      <c r="R238" s="51" t="s">
        <v>1089</v>
      </c>
      <c r="S238" s="51" t="s">
        <v>1090</v>
      </c>
      <c r="T238" s="51" t="s">
        <v>1089</v>
      </c>
      <c r="U238" s="51" t="str">
        <f>"港澳处、律所、会所三方审核结论一致，符合给予租金补贴"&amp;Q238&amp;"元条件。"</f>
        <v>港澳处、律所、会所三方审核结论一致，符合给予租金补贴1809元条件。</v>
      </c>
    </row>
    <row r="239" s="3" customFormat="1" ht="150" customHeight="1" spans="1:21">
      <c r="A239" s="42"/>
      <c r="B239" s="22"/>
      <c r="C239" s="22"/>
      <c r="D239" s="22"/>
      <c r="E239" s="18"/>
      <c r="F239" s="42"/>
      <c r="G239" s="48"/>
      <c r="H239" s="42"/>
      <c r="I239" s="42"/>
      <c r="J239" s="30"/>
      <c r="K239" s="27" t="s">
        <v>1091</v>
      </c>
      <c r="L239" s="26">
        <f>7/29</f>
        <v>0.241379310344828</v>
      </c>
      <c r="M239" s="48"/>
      <c r="N239" s="26">
        <v>260</v>
      </c>
      <c r="O239" s="26"/>
      <c r="P239" s="26">
        <f>G238*L239*O238</f>
        <v>144.827586206897</v>
      </c>
      <c r="Q239" s="52"/>
      <c r="R239" s="53"/>
      <c r="S239" s="53"/>
      <c r="T239" s="53"/>
      <c r="U239" s="53"/>
    </row>
    <row r="240" s="3" customFormat="1" ht="300" customHeight="1" spans="1:21">
      <c r="A240" s="11">
        <v>138</v>
      </c>
      <c r="B240" s="14" t="s">
        <v>131</v>
      </c>
      <c r="C240" s="14" t="s">
        <v>1092</v>
      </c>
      <c r="D240" s="14" t="s">
        <v>1093</v>
      </c>
      <c r="E240" s="18" t="s">
        <v>154</v>
      </c>
      <c r="F240" s="11" t="s">
        <v>1094</v>
      </c>
      <c r="G240" s="26">
        <v>210.28</v>
      </c>
      <c r="H240" s="11" t="s">
        <v>1095</v>
      </c>
      <c r="I240" s="11" t="s">
        <v>1096</v>
      </c>
      <c r="J240" s="28">
        <v>0</v>
      </c>
      <c r="K240" s="27" t="s">
        <v>1097</v>
      </c>
      <c r="L240" s="26">
        <v>13</v>
      </c>
      <c r="M240" s="28">
        <v>13</v>
      </c>
      <c r="N240" s="28">
        <f>21638/210.28</f>
        <v>102.900894046034</v>
      </c>
      <c r="O240" s="28">
        <f>N240*0.5</f>
        <v>51.4504470230169</v>
      </c>
      <c r="P240" s="26">
        <f>21638*13*0.5</f>
        <v>140647</v>
      </c>
      <c r="Q240" s="37">
        <f>21638*13*0.5</f>
        <v>140647</v>
      </c>
      <c r="R240" s="38" t="s">
        <v>1098</v>
      </c>
      <c r="S240" s="38" t="s">
        <v>1099</v>
      </c>
      <c r="T240" s="38" t="s">
        <v>1098</v>
      </c>
      <c r="U240" s="38" t="str">
        <f>"港澳处、律所、会所三方审核结论一致，符合给予租金补贴"&amp;Q240&amp;"元条件。"</f>
        <v>港澳处、律所、会所三方审核结论一致，符合给予租金补贴140647元条件。</v>
      </c>
    </row>
    <row r="241" ht="55.05" customHeight="1" spans="1:20">
      <c r="A241" s="11" t="s">
        <v>1100</v>
      </c>
      <c r="B241" s="11"/>
      <c r="C241" s="11"/>
      <c r="D241" s="11"/>
      <c r="E241" s="11"/>
      <c r="F241" s="11"/>
      <c r="G241" s="11"/>
      <c r="H241" s="11"/>
      <c r="I241" s="11"/>
      <c r="J241" s="11"/>
      <c r="K241" s="11"/>
      <c r="L241" s="11"/>
      <c r="M241" s="11"/>
      <c r="N241" s="11"/>
      <c r="O241" s="11"/>
      <c r="P241" s="11"/>
      <c r="Q241" s="37">
        <f>SUM(Q3:Q240)</f>
        <v>11095784</v>
      </c>
      <c r="R241" s="8"/>
      <c r="S241" s="8"/>
      <c r="T241" s="8"/>
    </row>
    <row r="242" s="4" customFormat="1" ht="80" customHeight="1" spans="1:30">
      <c r="A242" s="44" t="s">
        <v>1101</v>
      </c>
      <c r="B242" s="44"/>
      <c r="C242" s="44"/>
      <c r="D242" s="45"/>
      <c r="E242" s="45"/>
      <c r="F242" s="45"/>
      <c r="G242" s="45"/>
      <c r="H242" s="45"/>
      <c r="I242" s="45"/>
      <c r="J242" s="45"/>
      <c r="K242" s="45"/>
      <c r="L242" s="45"/>
      <c r="M242" s="49"/>
      <c r="N242" s="49"/>
      <c r="O242" s="49"/>
      <c r="P242" s="45"/>
      <c r="Q242" s="49"/>
      <c r="R242" s="54"/>
      <c r="S242" s="54"/>
      <c r="T242" s="54"/>
      <c r="U242" s="54"/>
      <c r="V242" s="49"/>
      <c r="W242" s="54"/>
      <c r="X242" s="54"/>
      <c r="Y242" s="54"/>
      <c r="Z242" s="54"/>
      <c r="AA242" s="54"/>
      <c r="AB242" s="55"/>
      <c r="AC242" s="55"/>
      <c r="AD242" s="56"/>
    </row>
    <row r="243" s="4" customFormat="1" ht="80" customHeight="1" spans="1:30">
      <c r="A243" s="44" t="s">
        <v>1102</v>
      </c>
      <c r="B243" s="46"/>
      <c r="C243" s="45"/>
      <c r="D243" s="45"/>
      <c r="E243" s="45"/>
      <c r="F243" s="45"/>
      <c r="G243" s="45"/>
      <c r="H243" s="45"/>
      <c r="I243" s="45"/>
      <c r="J243" s="45"/>
      <c r="K243" s="45"/>
      <c r="L243" s="45"/>
      <c r="M243" s="49"/>
      <c r="N243" s="49"/>
      <c r="O243" s="49"/>
      <c r="P243" s="45"/>
      <c r="Q243" s="49"/>
      <c r="R243" s="54"/>
      <c r="S243" s="54"/>
      <c r="T243" s="54"/>
      <c r="U243" s="54"/>
      <c r="V243" s="49"/>
      <c r="W243" s="54"/>
      <c r="X243" s="54"/>
      <c r="Y243" s="54"/>
      <c r="Z243" s="54"/>
      <c r="AA243" s="54"/>
      <c r="AB243" s="55"/>
      <c r="AC243" s="55"/>
      <c r="AD243" s="56"/>
    </row>
    <row r="244" s="4" customFormat="1" ht="80" customHeight="1" spans="1:30">
      <c r="A244" s="44" t="s">
        <v>1103</v>
      </c>
      <c r="B244" s="46"/>
      <c r="C244" s="45"/>
      <c r="D244" s="45"/>
      <c r="E244" s="45"/>
      <c r="F244" s="45"/>
      <c r="G244" s="45"/>
      <c r="H244" s="45"/>
      <c r="I244" s="45"/>
      <c r="J244" s="45"/>
      <c r="K244" s="45"/>
      <c r="L244" s="45"/>
      <c r="M244" s="49"/>
      <c r="N244" s="49"/>
      <c r="O244" s="49"/>
      <c r="P244" s="45"/>
      <c r="Q244" s="49"/>
      <c r="R244" s="54"/>
      <c r="S244" s="54"/>
      <c r="T244" s="54"/>
      <c r="U244" s="54"/>
      <c r="V244" s="49"/>
      <c r="W244" s="54"/>
      <c r="X244" s="54"/>
      <c r="Y244" s="54"/>
      <c r="Z244" s="54"/>
      <c r="AA244" s="54"/>
      <c r="AB244" s="55"/>
      <c r="AC244" s="55"/>
      <c r="AD244" s="56"/>
    </row>
    <row r="257" spans="2:2">
      <c r="B257" s="57"/>
    </row>
    <row r="258" spans="2:2">
      <c r="B258" s="57"/>
    </row>
    <row r="259" spans="2:2">
      <c r="B259" s="57"/>
    </row>
    <row r="260" spans="2:2">
      <c r="B260" s="57"/>
    </row>
    <row r="261" spans="2:2">
      <c r="B261" s="57"/>
    </row>
    <row r="262" spans="2:2">
      <c r="B262" s="57"/>
    </row>
    <row r="263" spans="2:2">
      <c r="B263" s="57"/>
    </row>
  </sheetData>
  <autoFilter ref="A2:AD244">
    <extLst/>
  </autoFilter>
  <mergeCells count="805">
    <mergeCell ref="A1:U1"/>
    <mergeCell ref="A242:C242"/>
    <mergeCell ref="A243:B243"/>
    <mergeCell ref="A244:B244"/>
    <mergeCell ref="A5:A6"/>
    <mergeCell ref="A7:A8"/>
    <mergeCell ref="A9:A10"/>
    <mergeCell ref="A12:A13"/>
    <mergeCell ref="A14:A15"/>
    <mergeCell ref="A17:A19"/>
    <mergeCell ref="A21:A22"/>
    <mergeCell ref="A23:A24"/>
    <mergeCell ref="A26:A29"/>
    <mergeCell ref="A35:A42"/>
    <mergeCell ref="A44:A45"/>
    <mergeCell ref="A48:A50"/>
    <mergeCell ref="A53:A54"/>
    <mergeCell ref="A55:A58"/>
    <mergeCell ref="A64:A65"/>
    <mergeCell ref="A67:A71"/>
    <mergeCell ref="A73:A75"/>
    <mergeCell ref="A76:A78"/>
    <mergeCell ref="A79:A82"/>
    <mergeCell ref="A83:A84"/>
    <mergeCell ref="A86:A89"/>
    <mergeCell ref="A91:A92"/>
    <mergeCell ref="A94:A97"/>
    <mergeCell ref="A100:A101"/>
    <mergeCell ref="A104:A105"/>
    <mergeCell ref="A106:A108"/>
    <mergeCell ref="A109:A111"/>
    <mergeCell ref="A113:A115"/>
    <mergeCell ref="A116:A117"/>
    <mergeCell ref="A118:A120"/>
    <mergeCell ref="A121:A123"/>
    <mergeCell ref="A124:A125"/>
    <mergeCell ref="A129:A130"/>
    <mergeCell ref="A132:A133"/>
    <mergeCell ref="A134:A137"/>
    <mergeCell ref="A138:A139"/>
    <mergeCell ref="A144:A145"/>
    <mergeCell ref="A148:A149"/>
    <mergeCell ref="A155:A157"/>
    <mergeCell ref="A158:A160"/>
    <mergeCell ref="A162:A163"/>
    <mergeCell ref="A164:A165"/>
    <mergeCell ref="A170:A171"/>
    <mergeCell ref="A175:A178"/>
    <mergeCell ref="A180:A183"/>
    <mergeCell ref="A184:A185"/>
    <mergeCell ref="A187:A188"/>
    <mergeCell ref="A190:A192"/>
    <mergeCell ref="A193:A194"/>
    <mergeCell ref="A195:A196"/>
    <mergeCell ref="A198:A199"/>
    <mergeCell ref="A204:A205"/>
    <mergeCell ref="A206:A207"/>
    <mergeCell ref="A209:A210"/>
    <mergeCell ref="A211:A214"/>
    <mergeCell ref="A217:A218"/>
    <mergeCell ref="A219:A220"/>
    <mergeCell ref="A222:A223"/>
    <mergeCell ref="A231:A232"/>
    <mergeCell ref="A236:A237"/>
    <mergeCell ref="A238:A239"/>
    <mergeCell ref="B5:B6"/>
    <mergeCell ref="B7:B8"/>
    <mergeCell ref="B9:B10"/>
    <mergeCell ref="B12:B13"/>
    <mergeCell ref="B14:B15"/>
    <mergeCell ref="B17:B19"/>
    <mergeCell ref="B21:B22"/>
    <mergeCell ref="B23:B24"/>
    <mergeCell ref="B26:B29"/>
    <mergeCell ref="B35:B42"/>
    <mergeCell ref="B44:B45"/>
    <mergeCell ref="B48:B50"/>
    <mergeCell ref="B53:B54"/>
    <mergeCell ref="B55:B58"/>
    <mergeCell ref="B64:B65"/>
    <mergeCell ref="B67:B71"/>
    <mergeCell ref="B73:B75"/>
    <mergeCell ref="B76:B78"/>
    <mergeCell ref="B79:B82"/>
    <mergeCell ref="B83:B84"/>
    <mergeCell ref="B86:B89"/>
    <mergeCell ref="B91:B92"/>
    <mergeCell ref="B94:B97"/>
    <mergeCell ref="B100:B101"/>
    <mergeCell ref="B104:B105"/>
    <mergeCell ref="B106:B108"/>
    <mergeCell ref="B109:B111"/>
    <mergeCell ref="B113:B115"/>
    <mergeCell ref="B116:B117"/>
    <mergeCell ref="B118:B120"/>
    <mergeCell ref="B121:B123"/>
    <mergeCell ref="B124:B125"/>
    <mergeCell ref="B129:B130"/>
    <mergeCell ref="B132:B133"/>
    <mergeCell ref="B134:B137"/>
    <mergeCell ref="B138:B139"/>
    <mergeCell ref="B144:B145"/>
    <mergeCell ref="B148:B149"/>
    <mergeCell ref="B155:B157"/>
    <mergeCell ref="B158:B160"/>
    <mergeCell ref="B162:B163"/>
    <mergeCell ref="B164:B165"/>
    <mergeCell ref="B170:B171"/>
    <mergeCell ref="B175:B178"/>
    <mergeCell ref="B180:B183"/>
    <mergeCell ref="B184:B185"/>
    <mergeCell ref="B187:B188"/>
    <mergeCell ref="B190:B192"/>
    <mergeCell ref="B193:B194"/>
    <mergeCell ref="B195:B196"/>
    <mergeCell ref="B198:B199"/>
    <mergeCell ref="B204:B205"/>
    <mergeCell ref="B206:B207"/>
    <mergeCell ref="B209:B210"/>
    <mergeCell ref="B211:B214"/>
    <mergeCell ref="B217:B218"/>
    <mergeCell ref="B219:B220"/>
    <mergeCell ref="B222:B223"/>
    <mergeCell ref="B231:B232"/>
    <mergeCell ref="B236:B237"/>
    <mergeCell ref="B238:B239"/>
    <mergeCell ref="C5:C6"/>
    <mergeCell ref="C9:C10"/>
    <mergeCell ref="C12:C13"/>
    <mergeCell ref="C14:C15"/>
    <mergeCell ref="C17:C19"/>
    <mergeCell ref="C21:C22"/>
    <mergeCell ref="C23:C24"/>
    <mergeCell ref="C26:C29"/>
    <mergeCell ref="C35:C42"/>
    <mergeCell ref="C44:C45"/>
    <mergeCell ref="C48:C50"/>
    <mergeCell ref="C53:C54"/>
    <mergeCell ref="C55:C58"/>
    <mergeCell ref="C64:C65"/>
    <mergeCell ref="C67:C71"/>
    <mergeCell ref="C73:C75"/>
    <mergeCell ref="C76:C78"/>
    <mergeCell ref="C79:C82"/>
    <mergeCell ref="C83:C84"/>
    <mergeCell ref="C86:C89"/>
    <mergeCell ref="C91:C92"/>
    <mergeCell ref="C94:C97"/>
    <mergeCell ref="C100:C101"/>
    <mergeCell ref="C104:C105"/>
    <mergeCell ref="C106:C108"/>
    <mergeCell ref="C109:C111"/>
    <mergeCell ref="C113:C115"/>
    <mergeCell ref="C116:C117"/>
    <mergeCell ref="C118:C120"/>
    <mergeCell ref="C121:C123"/>
    <mergeCell ref="C124:C125"/>
    <mergeCell ref="C129:C130"/>
    <mergeCell ref="C132:C133"/>
    <mergeCell ref="C134:C137"/>
    <mergeCell ref="C138:C139"/>
    <mergeCell ref="C144:C145"/>
    <mergeCell ref="C148:C149"/>
    <mergeCell ref="C155:C157"/>
    <mergeCell ref="C158:C160"/>
    <mergeCell ref="C162:C163"/>
    <mergeCell ref="C164:C165"/>
    <mergeCell ref="C170:C171"/>
    <mergeCell ref="C175:C178"/>
    <mergeCell ref="C180:C183"/>
    <mergeCell ref="C184:C185"/>
    <mergeCell ref="C187:C188"/>
    <mergeCell ref="C190:C192"/>
    <mergeCell ref="C193:C194"/>
    <mergeCell ref="C195:C196"/>
    <mergeCell ref="C198:C199"/>
    <mergeCell ref="C204:C205"/>
    <mergeCell ref="C206:C207"/>
    <mergeCell ref="C209:C210"/>
    <mergeCell ref="C211:C214"/>
    <mergeCell ref="C217:C218"/>
    <mergeCell ref="C219:C220"/>
    <mergeCell ref="C222:C223"/>
    <mergeCell ref="C231:C232"/>
    <mergeCell ref="C236:C237"/>
    <mergeCell ref="C238:C239"/>
    <mergeCell ref="D5:D6"/>
    <mergeCell ref="D7:D8"/>
    <mergeCell ref="D9:D10"/>
    <mergeCell ref="D12:D13"/>
    <mergeCell ref="D14:D15"/>
    <mergeCell ref="D17:D19"/>
    <mergeCell ref="D21:D22"/>
    <mergeCell ref="D23:D24"/>
    <mergeCell ref="D26:D29"/>
    <mergeCell ref="D35:D42"/>
    <mergeCell ref="D44:D45"/>
    <mergeCell ref="D48:D50"/>
    <mergeCell ref="D53:D54"/>
    <mergeCell ref="D55:D58"/>
    <mergeCell ref="D64:D65"/>
    <mergeCell ref="D67:D71"/>
    <mergeCell ref="D73:D75"/>
    <mergeCell ref="D76:D78"/>
    <mergeCell ref="D79:D82"/>
    <mergeCell ref="D83:D84"/>
    <mergeCell ref="D86:D89"/>
    <mergeCell ref="D91:D92"/>
    <mergeCell ref="D94:D97"/>
    <mergeCell ref="D100:D101"/>
    <mergeCell ref="D104:D105"/>
    <mergeCell ref="D106:D108"/>
    <mergeCell ref="D109:D111"/>
    <mergeCell ref="D113:D115"/>
    <mergeCell ref="D116:D117"/>
    <mergeCell ref="D118:D120"/>
    <mergeCell ref="D121:D123"/>
    <mergeCell ref="D124:D125"/>
    <mergeCell ref="D129:D130"/>
    <mergeCell ref="D132:D133"/>
    <mergeCell ref="D134:D137"/>
    <mergeCell ref="D138:D139"/>
    <mergeCell ref="D144:D145"/>
    <mergeCell ref="D148:D149"/>
    <mergeCell ref="D155:D157"/>
    <mergeCell ref="D158:D160"/>
    <mergeCell ref="D162:D163"/>
    <mergeCell ref="D164:D165"/>
    <mergeCell ref="D170:D171"/>
    <mergeCell ref="D175:D178"/>
    <mergeCell ref="D180:D183"/>
    <mergeCell ref="D184:D185"/>
    <mergeCell ref="D187:D188"/>
    <mergeCell ref="D190:D192"/>
    <mergeCell ref="D193:D194"/>
    <mergeCell ref="D195:D196"/>
    <mergeCell ref="D198:D199"/>
    <mergeCell ref="D204:D205"/>
    <mergeCell ref="D206:D207"/>
    <mergeCell ref="D209:D210"/>
    <mergeCell ref="D211:D214"/>
    <mergeCell ref="D217:D218"/>
    <mergeCell ref="D219:D220"/>
    <mergeCell ref="D222:D223"/>
    <mergeCell ref="D231:D232"/>
    <mergeCell ref="D236:D237"/>
    <mergeCell ref="D238:D239"/>
    <mergeCell ref="E5:E6"/>
    <mergeCell ref="E7:E8"/>
    <mergeCell ref="E9:E10"/>
    <mergeCell ref="E12:E13"/>
    <mergeCell ref="E14:E15"/>
    <mergeCell ref="E17:E19"/>
    <mergeCell ref="E21:E22"/>
    <mergeCell ref="E23:E24"/>
    <mergeCell ref="E26:E29"/>
    <mergeCell ref="E35:E42"/>
    <mergeCell ref="E44:E45"/>
    <mergeCell ref="E48:E50"/>
    <mergeCell ref="E53:E54"/>
    <mergeCell ref="E55:E58"/>
    <mergeCell ref="E64:E65"/>
    <mergeCell ref="E67:E71"/>
    <mergeCell ref="E73:E75"/>
    <mergeCell ref="E76:E78"/>
    <mergeCell ref="E79:E82"/>
    <mergeCell ref="E83:E84"/>
    <mergeCell ref="E86:E89"/>
    <mergeCell ref="E91:E92"/>
    <mergeCell ref="E94:E97"/>
    <mergeCell ref="E100:E101"/>
    <mergeCell ref="E104:E105"/>
    <mergeCell ref="E106:E108"/>
    <mergeCell ref="E109:E111"/>
    <mergeCell ref="E113:E115"/>
    <mergeCell ref="E116:E117"/>
    <mergeCell ref="E118:E120"/>
    <mergeCell ref="E121:E123"/>
    <mergeCell ref="E124:E125"/>
    <mergeCell ref="E129:E130"/>
    <mergeCell ref="E132:E133"/>
    <mergeCell ref="E134:E137"/>
    <mergeCell ref="E138:E139"/>
    <mergeCell ref="E144:E145"/>
    <mergeCell ref="E148:E149"/>
    <mergeCell ref="E155:E157"/>
    <mergeCell ref="E158:E160"/>
    <mergeCell ref="E162:E163"/>
    <mergeCell ref="E164:E165"/>
    <mergeCell ref="E170:E171"/>
    <mergeCell ref="E175:E178"/>
    <mergeCell ref="E180:E183"/>
    <mergeCell ref="E184:E185"/>
    <mergeCell ref="E187:E188"/>
    <mergeCell ref="E190:E192"/>
    <mergeCell ref="E193:E194"/>
    <mergeCell ref="E195:E196"/>
    <mergeCell ref="E198:E199"/>
    <mergeCell ref="E204:E205"/>
    <mergeCell ref="E206:E207"/>
    <mergeCell ref="E209:E210"/>
    <mergeCell ref="E211:E214"/>
    <mergeCell ref="E217:E218"/>
    <mergeCell ref="E219:E220"/>
    <mergeCell ref="E222:E223"/>
    <mergeCell ref="E231:E232"/>
    <mergeCell ref="E236:E237"/>
    <mergeCell ref="E238:E239"/>
    <mergeCell ref="F144:F145"/>
    <mergeCell ref="F198:F199"/>
    <mergeCell ref="F204:F205"/>
    <mergeCell ref="F238:F239"/>
    <mergeCell ref="G198:G199"/>
    <mergeCell ref="G238:G239"/>
    <mergeCell ref="H238:H239"/>
    <mergeCell ref="I5:I6"/>
    <mergeCell ref="I7:I8"/>
    <mergeCell ref="I9:I10"/>
    <mergeCell ref="I12:I13"/>
    <mergeCell ref="I14:I15"/>
    <mergeCell ref="I17:I19"/>
    <mergeCell ref="I21:I22"/>
    <mergeCell ref="I23:I24"/>
    <mergeCell ref="I26:I29"/>
    <mergeCell ref="I35:I42"/>
    <mergeCell ref="I44:I45"/>
    <mergeCell ref="I48:I50"/>
    <mergeCell ref="I53:I54"/>
    <mergeCell ref="I55:I58"/>
    <mergeCell ref="I64:I65"/>
    <mergeCell ref="I67:I71"/>
    <mergeCell ref="I73:I75"/>
    <mergeCell ref="I76:I78"/>
    <mergeCell ref="I79:I82"/>
    <mergeCell ref="I83:I84"/>
    <mergeCell ref="I86:I89"/>
    <mergeCell ref="I91:I92"/>
    <mergeCell ref="I94:I97"/>
    <mergeCell ref="I100:I101"/>
    <mergeCell ref="I104:I105"/>
    <mergeCell ref="I106:I108"/>
    <mergeCell ref="I109:I111"/>
    <mergeCell ref="I113:I115"/>
    <mergeCell ref="I116:I117"/>
    <mergeCell ref="I118:I120"/>
    <mergeCell ref="I121:I123"/>
    <mergeCell ref="I124:I125"/>
    <mergeCell ref="I129:I130"/>
    <mergeCell ref="I132:I133"/>
    <mergeCell ref="I134:I137"/>
    <mergeCell ref="I138:I139"/>
    <mergeCell ref="I144:I145"/>
    <mergeCell ref="I148:I149"/>
    <mergeCell ref="I155:I157"/>
    <mergeCell ref="I158:I160"/>
    <mergeCell ref="I162:I163"/>
    <mergeCell ref="I164:I165"/>
    <mergeCell ref="I170:I171"/>
    <mergeCell ref="I175:I178"/>
    <mergeCell ref="I180:I183"/>
    <mergeCell ref="I184:I185"/>
    <mergeCell ref="I187:I188"/>
    <mergeCell ref="I190:I192"/>
    <mergeCell ref="I193:I194"/>
    <mergeCell ref="I195:I196"/>
    <mergeCell ref="I198:I199"/>
    <mergeCell ref="I204:I205"/>
    <mergeCell ref="I206:I207"/>
    <mergeCell ref="I209:I210"/>
    <mergeCell ref="I211:I214"/>
    <mergeCell ref="I217:I218"/>
    <mergeCell ref="I219:I220"/>
    <mergeCell ref="I222:I223"/>
    <mergeCell ref="I231:I232"/>
    <mergeCell ref="I236:I237"/>
    <mergeCell ref="I238:I239"/>
    <mergeCell ref="J5:J6"/>
    <mergeCell ref="J7:J8"/>
    <mergeCell ref="J9:J10"/>
    <mergeCell ref="J12:J13"/>
    <mergeCell ref="J14:J15"/>
    <mergeCell ref="J17:J19"/>
    <mergeCell ref="J21:J22"/>
    <mergeCell ref="J26:J29"/>
    <mergeCell ref="J35:J42"/>
    <mergeCell ref="J44:J45"/>
    <mergeCell ref="J48:J50"/>
    <mergeCell ref="J53:J54"/>
    <mergeCell ref="J55:J58"/>
    <mergeCell ref="J64:J65"/>
    <mergeCell ref="J67:J71"/>
    <mergeCell ref="J73:J75"/>
    <mergeCell ref="J76:J78"/>
    <mergeCell ref="J79:J82"/>
    <mergeCell ref="J83:J84"/>
    <mergeCell ref="J86:J89"/>
    <mergeCell ref="J91:J92"/>
    <mergeCell ref="J94:J97"/>
    <mergeCell ref="J100:J101"/>
    <mergeCell ref="J104:J105"/>
    <mergeCell ref="J106:J108"/>
    <mergeCell ref="J109:J111"/>
    <mergeCell ref="J113:J115"/>
    <mergeCell ref="J116:J117"/>
    <mergeCell ref="J118:J120"/>
    <mergeCell ref="J121:J123"/>
    <mergeCell ref="J124:J125"/>
    <mergeCell ref="J129:J130"/>
    <mergeCell ref="J132:J133"/>
    <mergeCell ref="J134:J137"/>
    <mergeCell ref="J138:J139"/>
    <mergeCell ref="J144:J145"/>
    <mergeCell ref="J148:J149"/>
    <mergeCell ref="J155:J157"/>
    <mergeCell ref="J158:J160"/>
    <mergeCell ref="J162:J163"/>
    <mergeCell ref="J164:J165"/>
    <mergeCell ref="J170:J171"/>
    <mergeCell ref="J175:J178"/>
    <mergeCell ref="J180:J183"/>
    <mergeCell ref="J184:J185"/>
    <mergeCell ref="J187:J188"/>
    <mergeCell ref="J190:J192"/>
    <mergeCell ref="J193:J194"/>
    <mergeCell ref="J198:J199"/>
    <mergeCell ref="J204:J205"/>
    <mergeCell ref="J206:J207"/>
    <mergeCell ref="J209:J210"/>
    <mergeCell ref="J211:J214"/>
    <mergeCell ref="J217:J218"/>
    <mergeCell ref="J219:J220"/>
    <mergeCell ref="J222:J223"/>
    <mergeCell ref="J231:J232"/>
    <mergeCell ref="J236:J237"/>
    <mergeCell ref="J238:J239"/>
    <mergeCell ref="M5:M6"/>
    <mergeCell ref="M7:M8"/>
    <mergeCell ref="M9:M10"/>
    <mergeCell ref="M12:M13"/>
    <mergeCell ref="M14:M15"/>
    <mergeCell ref="M17:M19"/>
    <mergeCell ref="M21:M22"/>
    <mergeCell ref="M23:M24"/>
    <mergeCell ref="M26:M29"/>
    <mergeCell ref="M35:M42"/>
    <mergeCell ref="M44:M45"/>
    <mergeCell ref="M48:M50"/>
    <mergeCell ref="M53:M54"/>
    <mergeCell ref="M55:M58"/>
    <mergeCell ref="M64:M65"/>
    <mergeCell ref="M67:M71"/>
    <mergeCell ref="M73:M75"/>
    <mergeCell ref="M76:M78"/>
    <mergeCell ref="M79:M82"/>
    <mergeCell ref="M83:M84"/>
    <mergeCell ref="M86:M89"/>
    <mergeCell ref="M91:M92"/>
    <mergeCell ref="M94:M97"/>
    <mergeCell ref="M100:M101"/>
    <mergeCell ref="M104:M105"/>
    <mergeCell ref="M106:M108"/>
    <mergeCell ref="M109:M111"/>
    <mergeCell ref="M113:M115"/>
    <mergeCell ref="M116:M117"/>
    <mergeCell ref="M118:M120"/>
    <mergeCell ref="M121:M123"/>
    <mergeCell ref="M124:M125"/>
    <mergeCell ref="M129:M130"/>
    <mergeCell ref="M132:M133"/>
    <mergeCell ref="M134:M137"/>
    <mergeCell ref="M138:M139"/>
    <mergeCell ref="M144:M145"/>
    <mergeCell ref="M148:M149"/>
    <mergeCell ref="M155:M157"/>
    <mergeCell ref="M158:M160"/>
    <mergeCell ref="M162:M163"/>
    <mergeCell ref="M164:M165"/>
    <mergeCell ref="M170:M171"/>
    <mergeCell ref="M175:M178"/>
    <mergeCell ref="M180:M183"/>
    <mergeCell ref="M184:M185"/>
    <mergeCell ref="M187:M188"/>
    <mergeCell ref="M190:M192"/>
    <mergeCell ref="M193:M194"/>
    <mergeCell ref="M195:M196"/>
    <mergeCell ref="M198:M199"/>
    <mergeCell ref="M204:M205"/>
    <mergeCell ref="M206:M207"/>
    <mergeCell ref="M209:M210"/>
    <mergeCell ref="M211:M214"/>
    <mergeCell ref="M217:M218"/>
    <mergeCell ref="M219:M220"/>
    <mergeCell ref="M222:M223"/>
    <mergeCell ref="M231:M232"/>
    <mergeCell ref="M236:M237"/>
    <mergeCell ref="M238:M239"/>
    <mergeCell ref="O138:O139"/>
    <mergeCell ref="O238:O239"/>
    <mergeCell ref="P79:P82"/>
    <mergeCell ref="P209:P210"/>
    <mergeCell ref="Q5:Q6"/>
    <mergeCell ref="Q7:Q8"/>
    <mergeCell ref="Q9:Q10"/>
    <mergeCell ref="Q12:Q13"/>
    <mergeCell ref="Q14:Q15"/>
    <mergeCell ref="Q17:Q19"/>
    <mergeCell ref="Q21:Q22"/>
    <mergeCell ref="Q23:Q24"/>
    <mergeCell ref="Q26:Q29"/>
    <mergeCell ref="Q35:Q42"/>
    <mergeCell ref="Q44:Q45"/>
    <mergeCell ref="Q48:Q50"/>
    <mergeCell ref="Q53:Q54"/>
    <mergeCell ref="Q55:Q58"/>
    <mergeCell ref="Q64:Q65"/>
    <mergeCell ref="Q67:Q71"/>
    <mergeCell ref="Q73:Q75"/>
    <mergeCell ref="Q76:Q78"/>
    <mergeCell ref="Q79:Q82"/>
    <mergeCell ref="Q83:Q84"/>
    <mergeCell ref="Q86:Q89"/>
    <mergeCell ref="Q91:Q92"/>
    <mergeCell ref="Q94:Q97"/>
    <mergeCell ref="Q100:Q101"/>
    <mergeCell ref="Q104:Q105"/>
    <mergeCell ref="Q106:Q108"/>
    <mergeCell ref="Q109:Q111"/>
    <mergeCell ref="Q113:Q115"/>
    <mergeCell ref="Q116:Q117"/>
    <mergeCell ref="Q118:Q120"/>
    <mergeCell ref="Q121:Q123"/>
    <mergeCell ref="Q124:Q125"/>
    <mergeCell ref="Q129:Q130"/>
    <mergeCell ref="Q132:Q133"/>
    <mergeCell ref="Q134:Q137"/>
    <mergeCell ref="Q138:Q139"/>
    <mergeCell ref="Q144:Q145"/>
    <mergeCell ref="Q148:Q149"/>
    <mergeCell ref="Q155:Q157"/>
    <mergeCell ref="Q158:Q160"/>
    <mergeCell ref="Q162:Q163"/>
    <mergeCell ref="Q164:Q165"/>
    <mergeCell ref="Q170:Q171"/>
    <mergeCell ref="Q175:Q178"/>
    <mergeCell ref="Q180:Q183"/>
    <mergeCell ref="Q184:Q185"/>
    <mergeCell ref="Q187:Q188"/>
    <mergeCell ref="Q190:Q192"/>
    <mergeCell ref="Q193:Q194"/>
    <mergeCell ref="Q195:Q196"/>
    <mergeCell ref="Q198:Q199"/>
    <mergeCell ref="Q204:Q205"/>
    <mergeCell ref="Q206:Q207"/>
    <mergeCell ref="Q209:Q210"/>
    <mergeCell ref="Q211:Q214"/>
    <mergeCell ref="Q217:Q218"/>
    <mergeCell ref="Q219:Q220"/>
    <mergeCell ref="Q222:Q223"/>
    <mergeCell ref="Q231:Q232"/>
    <mergeCell ref="Q236:Q237"/>
    <mergeCell ref="Q238:Q239"/>
    <mergeCell ref="R5:R6"/>
    <mergeCell ref="R7:R8"/>
    <mergeCell ref="R9:R10"/>
    <mergeCell ref="R12:R13"/>
    <mergeCell ref="R14:R15"/>
    <mergeCell ref="R17:R19"/>
    <mergeCell ref="R21:R22"/>
    <mergeCell ref="R23:R24"/>
    <mergeCell ref="R26:R29"/>
    <mergeCell ref="R35:R42"/>
    <mergeCell ref="R44:R45"/>
    <mergeCell ref="R48:R50"/>
    <mergeCell ref="R53:R54"/>
    <mergeCell ref="R55:R58"/>
    <mergeCell ref="R64:R65"/>
    <mergeCell ref="R67:R71"/>
    <mergeCell ref="R73:R75"/>
    <mergeCell ref="R76:R78"/>
    <mergeCell ref="R79:R82"/>
    <mergeCell ref="R83:R84"/>
    <mergeCell ref="R86:R89"/>
    <mergeCell ref="R91:R92"/>
    <mergeCell ref="R94:R97"/>
    <mergeCell ref="R100:R101"/>
    <mergeCell ref="R104:R105"/>
    <mergeCell ref="R106:R108"/>
    <mergeCell ref="R109:R111"/>
    <mergeCell ref="R113:R115"/>
    <mergeCell ref="R116:R117"/>
    <mergeCell ref="R118:R120"/>
    <mergeCell ref="R121:R123"/>
    <mergeCell ref="R124:R125"/>
    <mergeCell ref="R129:R130"/>
    <mergeCell ref="R132:R133"/>
    <mergeCell ref="R134:R137"/>
    <mergeCell ref="R138:R139"/>
    <mergeCell ref="R144:R145"/>
    <mergeCell ref="R148:R149"/>
    <mergeCell ref="R155:R157"/>
    <mergeCell ref="R158:R160"/>
    <mergeCell ref="R162:R163"/>
    <mergeCell ref="R164:R165"/>
    <mergeCell ref="R170:R171"/>
    <mergeCell ref="R175:R178"/>
    <mergeCell ref="R180:R183"/>
    <mergeCell ref="R184:R185"/>
    <mergeCell ref="R187:R188"/>
    <mergeCell ref="R190:R192"/>
    <mergeCell ref="R193:R194"/>
    <mergeCell ref="R195:R196"/>
    <mergeCell ref="R198:R199"/>
    <mergeCell ref="R204:R205"/>
    <mergeCell ref="R206:R207"/>
    <mergeCell ref="R209:R210"/>
    <mergeCell ref="R211:R214"/>
    <mergeCell ref="R217:R218"/>
    <mergeCell ref="R219:R220"/>
    <mergeCell ref="R222:R223"/>
    <mergeCell ref="R231:R232"/>
    <mergeCell ref="R236:R237"/>
    <mergeCell ref="R238:R239"/>
    <mergeCell ref="S5:S6"/>
    <mergeCell ref="S7:S8"/>
    <mergeCell ref="S9:S10"/>
    <mergeCell ref="S12:S13"/>
    <mergeCell ref="S14:S15"/>
    <mergeCell ref="S17:S19"/>
    <mergeCell ref="S21:S22"/>
    <mergeCell ref="S23:S24"/>
    <mergeCell ref="S26:S29"/>
    <mergeCell ref="S35:S42"/>
    <mergeCell ref="S44:S45"/>
    <mergeCell ref="S48:S50"/>
    <mergeCell ref="S53:S54"/>
    <mergeCell ref="S55:S58"/>
    <mergeCell ref="S64:S65"/>
    <mergeCell ref="S67:S71"/>
    <mergeCell ref="S73:S75"/>
    <mergeCell ref="S76:S78"/>
    <mergeCell ref="S79:S82"/>
    <mergeCell ref="S83:S84"/>
    <mergeCell ref="S86:S89"/>
    <mergeCell ref="S91:S92"/>
    <mergeCell ref="S94:S97"/>
    <mergeCell ref="S100:S101"/>
    <mergeCell ref="S104:S105"/>
    <mergeCell ref="S106:S108"/>
    <mergeCell ref="S109:S111"/>
    <mergeCell ref="S113:S115"/>
    <mergeCell ref="S116:S117"/>
    <mergeCell ref="S118:S120"/>
    <mergeCell ref="S121:S123"/>
    <mergeCell ref="S124:S125"/>
    <mergeCell ref="S129:S130"/>
    <mergeCell ref="S132:S133"/>
    <mergeCell ref="S134:S137"/>
    <mergeCell ref="S138:S139"/>
    <mergeCell ref="S144:S145"/>
    <mergeCell ref="S148:S149"/>
    <mergeCell ref="S155:S157"/>
    <mergeCell ref="S158:S160"/>
    <mergeCell ref="S162:S163"/>
    <mergeCell ref="S164:S165"/>
    <mergeCell ref="S170:S171"/>
    <mergeCell ref="S175:S178"/>
    <mergeCell ref="S180:S183"/>
    <mergeCell ref="S184:S185"/>
    <mergeCell ref="S187:S188"/>
    <mergeCell ref="S190:S192"/>
    <mergeCell ref="S193:S194"/>
    <mergeCell ref="S195:S196"/>
    <mergeCell ref="S198:S199"/>
    <mergeCell ref="S204:S205"/>
    <mergeCell ref="S206:S207"/>
    <mergeCell ref="S209:S210"/>
    <mergeCell ref="S211:S214"/>
    <mergeCell ref="S217:S218"/>
    <mergeCell ref="S219:S220"/>
    <mergeCell ref="S222:S223"/>
    <mergeCell ref="S231:S232"/>
    <mergeCell ref="S236:S237"/>
    <mergeCell ref="S238:S239"/>
    <mergeCell ref="T5:T6"/>
    <mergeCell ref="T7:T8"/>
    <mergeCell ref="T9:T10"/>
    <mergeCell ref="T12:T13"/>
    <mergeCell ref="T14:T15"/>
    <mergeCell ref="T17:T19"/>
    <mergeCell ref="T21:T22"/>
    <mergeCell ref="T23:T24"/>
    <mergeCell ref="T26:T29"/>
    <mergeCell ref="T35:T42"/>
    <mergeCell ref="T44:T45"/>
    <mergeCell ref="T48:T50"/>
    <mergeCell ref="T53:T54"/>
    <mergeCell ref="T55:T58"/>
    <mergeCell ref="T64:T65"/>
    <mergeCell ref="T67:T71"/>
    <mergeCell ref="T73:T75"/>
    <mergeCell ref="T76:T78"/>
    <mergeCell ref="T79:T82"/>
    <mergeCell ref="T83:T84"/>
    <mergeCell ref="T86:T89"/>
    <mergeCell ref="T91:T92"/>
    <mergeCell ref="T94:T97"/>
    <mergeCell ref="T100:T101"/>
    <mergeCell ref="T104:T105"/>
    <mergeCell ref="T106:T108"/>
    <mergeCell ref="T109:T111"/>
    <mergeCell ref="T113:T115"/>
    <mergeCell ref="T116:T117"/>
    <mergeCell ref="T118:T120"/>
    <mergeCell ref="T121:T123"/>
    <mergeCell ref="T124:T125"/>
    <mergeCell ref="T129:T130"/>
    <mergeCell ref="T132:T133"/>
    <mergeCell ref="T134:T137"/>
    <mergeCell ref="T138:T139"/>
    <mergeCell ref="T144:T145"/>
    <mergeCell ref="T148:T149"/>
    <mergeCell ref="T155:T157"/>
    <mergeCell ref="T158:T160"/>
    <mergeCell ref="T162:T163"/>
    <mergeCell ref="T164:T165"/>
    <mergeCell ref="T170:T171"/>
    <mergeCell ref="T175:T178"/>
    <mergeCell ref="T180:T183"/>
    <mergeCell ref="T184:T185"/>
    <mergeCell ref="T187:T188"/>
    <mergeCell ref="T190:T192"/>
    <mergeCell ref="T193:T194"/>
    <mergeCell ref="T195:T196"/>
    <mergeCell ref="T198:T199"/>
    <mergeCell ref="T204:T205"/>
    <mergeCell ref="T206:T207"/>
    <mergeCell ref="T209:T210"/>
    <mergeCell ref="T211:T214"/>
    <mergeCell ref="T217:T218"/>
    <mergeCell ref="T219:T220"/>
    <mergeCell ref="T222:T223"/>
    <mergeCell ref="T231:T232"/>
    <mergeCell ref="T236:T237"/>
    <mergeCell ref="T238:T239"/>
    <mergeCell ref="U5:U6"/>
    <mergeCell ref="U7:U8"/>
    <mergeCell ref="U9:U10"/>
    <mergeCell ref="U12:U13"/>
    <mergeCell ref="U14:U15"/>
    <mergeCell ref="U17:U19"/>
    <mergeCell ref="U21:U22"/>
    <mergeCell ref="U23:U24"/>
    <mergeCell ref="U26:U29"/>
    <mergeCell ref="U35:U42"/>
    <mergeCell ref="U44:U45"/>
    <mergeCell ref="U48:U50"/>
    <mergeCell ref="U53:U54"/>
    <mergeCell ref="U55:U58"/>
    <mergeCell ref="U64:U65"/>
    <mergeCell ref="U67:U71"/>
    <mergeCell ref="U73:U75"/>
    <mergeCell ref="U76:U78"/>
    <mergeCell ref="U79:U82"/>
    <mergeCell ref="U83:U84"/>
    <mergeCell ref="U86:U89"/>
    <mergeCell ref="U91:U92"/>
    <mergeCell ref="U94:U97"/>
    <mergeCell ref="U100:U101"/>
    <mergeCell ref="U104:U105"/>
    <mergeCell ref="U106:U108"/>
    <mergeCell ref="U109:U111"/>
    <mergeCell ref="U113:U115"/>
    <mergeCell ref="U116:U117"/>
    <mergeCell ref="U118:U120"/>
    <mergeCell ref="U121:U123"/>
    <mergeCell ref="U124:U125"/>
    <mergeCell ref="U129:U130"/>
    <mergeCell ref="U132:U133"/>
    <mergeCell ref="U134:U137"/>
    <mergeCell ref="U138:U139"/>
    <mergeCell ref="U144:U145"/>
    <mergeCell ref="U148:U149"/>
    <mergeCell ref="U155:U157"/>
    <mergeCell ref="U158:U160"/>
    <mergeCell ref="U162:U163"/>
    <mergeCell ref="U164:U165"/>
    <mergeCell ref="U170:U171"/>
    <mergeCell ref="U175:U178"/>
    <mergeCell ref="U180:U183"/>
    <mergeCell ref="U184:U185"/>
    <mergeCell ref="U187:U188"/>
    <mergeCell ref="U190:U192"/>
    <mergeCell ref="U193:U194"/>
    <mergeCell ref="U195:U196"/>
    <mergeCell ref="U198:U199"/>
    <mergeCell ref="U204:U205"/>
    <mergeCell ref="U206:U207"/>
    <mergeCell ref="U209:U210"/>
    <mergeCell ref="U211:U214"/>
    <mergeCell ref="U217:U218"/>
    <mergeCell ref="U219:U220"/>
    <mergeCell ref="U222:U223"/>
    <mergeCell ref="U231:U232"/>
    <mergeCell ref="U236:U237"/>
    <mergeCell ref="U238:U239"/>
  </mergeCells>
  <conditionalFormatting sqref="R2">
    <cfRule type="duplicateValues" dxfId="0" priority="3"/>
  </conditionalFormatting>
  <conditionalFormatting sqref="F133">
    <cfRule type="notContainsBlanks" dxfId="1" priority="8">
      <formula>LEN(TRIM(F133))&gt;0</formula>
    </cfRule>
  </conditionalFormatting>
  <conditionalFormatting sqref="B238:D238">
    <cfRule type="duplicateValues" dxfId="0" priority="2"/>
  </conditionalFormatting>
  <conditionalFormatting sqref="B240:D240">
    <cfRule type="duplicateValues" dxfId="0" priority="1"/>
  </conditionalFormatting>
  <conditionalFormatting sqref="K106:K108">
    <cfRule type="notContainsBlanks" dxfId="1" priority="5">
      <formula>LEN(TRIM(K106))&gt;0</formula>
    </cfRule>
  </conditionalFormatting>
  <conditionalFormatting sqref="P102:P117">
    <cfRule type="notContainsBlanks" dxfId="1" priority="11">
      <formula>LEN(TRIM(P102))&gt;0</formula>
    </cfRule>
  </conditionalFormatting>
  <conditionalFormatting sqref="A2:Q2 S2:T2">
    <cfRule type="duplicateValues" dxfId="0" priority="6"/>
  </conditionalFormatting>
  <conditionalFormatting sqref="P37:P50 K37:L50 C43:D44 C46:D48 F37:G50 C134:D134 F134">
    <cfRule type="notContainsBlanks" dxfId="1" priority="13">
      <formula>LEN(TRIM(C37))&gt;0</formula>
    </cfRule>
  </conditionalFormatting>
  <conditionalFormatting sqref="G64 P64:P65 K64:L64">
    <cfRule type="notContainsBlanks" dxfId="1" priority="9">
      <formula>LEN(TRIM(G64))&gt;0</formula>
    </cfRule>
  </conditionalFormatting>
  <conditionalFormatting sqref="C102:D102 K109:K117 F109:G117 F102:G105 K102:K105 C116:E116 C112:E113 C106:E106 C109:E109 C103 C104:D104">
    <cfRule type="notContainsBlanks" dxfId="1" priority="12">
      <formula>LEN(TRIM(C102))&gt;0</formula>
    </cfRule>
  </conditionalFormatting>
  <conditionalFormatting sqref="F106:G108">
    <cfRule type="notContainsBlanks" dxfId="1" priority="4">
      <formula>LEN(TRIM(F106))&gt;0</formula>
    </cfRule>
  </conditionalFormatting>
  <conditionalFormatting sqref="C121:D121 P118:P137 K135:K137 F130 F135:G137 G121:G130 K118:K132 F122:F128 F118:G120 C124:D124 F131:G132 C131:D132 C126:D129">
    <cfRule type="notContainsBlanks" dxfId="1" priority="10">
      <formula>LEN(TRIM(C118))&gt;0</formula>
    </cfRule>
  </conditionalFormatting>
  <conditionalFormatting sqref="G133:G134 K133:K134">
    <cfRule type="notContainsBlanks" dxfId="1" priority="7">
      <formula>LEN(TRIM(G133))&gt;0</formula>
    </cfRule>
  </conditionalFormatting>
  <conditionalFormatting sqref="B140:B144 B150:B155 B146:B148 B138 B158:B159 B179:B182 B172:B175 B166:B170 B164 B161:B162 B219 B206 B208:B209 B211 B243:B256 B264:B1048576 B224:B231 B221:B222 B233:B236 B184 B186:B187 B189:B191 B193 B195 B197:B198 B200:B204 B215:B217">
    <cfRule type="duplicateValues" dxfId="0" priority="14"/>
  </conditionalFormatting>
  <pageMargins left="0.751388888888889" right="0.751388888888889" top="1" bottom="1" header="0.5" footer="0.5"/>
  <pageSetup paperSize="8" scale="30" fitToHeight="0" orientation="landscape"/>
  <headerFooter/>
  <rowBreaks count="10" manualBreakCount="10">
    <brk id="34" max="16383" man="1"/>
    <brk id="84" max="16383" man="1"/>
    <brk id="123" max="16383" man="1"/>
    <brk id="143" max="16383" man="1"/>
    <brk id="163" max="16383" man="1"/>
    <brk id="183" max="16383" man="1"/>
    <brk id="194" max="16383" man="1"/>
    <brk id="244" max="16383" man="1"/>
    <brk id="244" max="16383" man="1"/>
    <brk id="245" max="16383" man="1"/>
  </rowBreaks>
  <picture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2024</vt:lpstr>
      <vt:lpstr>2024 (2)</vt:lpstr>
      <vt:lpstr>改中间版本</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Finn Zheng</dc:creator>
  <cp:lastModifiedBy>王子忠</cp:lastModifiedBy>
  <dcterms:created xsi:type="dcterms:W3CDTF">2015-06-17T10:19:00Z</dcterms:created>
  <cp:lastPrinted>2024-12-27T10:54:00Z</cp:lastPrinted>
  <dcterms:modified xsi:type="dcterms:W3CDTF">2025-05-22T09:50:42Z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2E009DB9D8004F41BFB2628660A30211</vt:lpwstr>
  </property>
  <property fmtid="{D5CDD505-2E9C-101B-9397-08002B2CF9AE}" pid="3" name="KSOProductBuildVer">
    <vt:lpwstr>2052-11.8.2.10912</vt:lpwstr>
  </property>
  <property fmtid="{D5CDD505-2E9C-101B-9397-08002B2CF9AE}" pid="4" name="KSOReadingLayout">
    <vt:bool>true</vt:bool>
  </property>
</Properties>
</file>